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obayashi\Desktop\"/>
    </mc:Choice>
  </mc:AlternateContent>
  <xr:revisionPtr revIDLastSave="0" documentId="8_{07419FFA-6BAA-490E-AB90-684F32A81FED}" xr6:coauthVersionLast="47" xr6:coauthVersionMax="47" xr10:uidLastSave="{00000000-0000-0000-0000-000000000000}"/>
  <bookViews>
    <workbookView xWindow="3960" yWindow="255" windowWidth="23520" windowHeight="10665" xr2:uid="{83A47E7C-9A24-47D3-BB6F-FB29FB92B0E2}"/>
  </bookViews>
  <sheets>
    <sheet name="2024.12" sheetId="49" r:id="rId1"/>
    <sheet name="2024.11" sheetId="48" r:id="rId2"/>
    <sheet name="2024.10" sheetId="47" r:id="rId3"/>
    <sheet name="2024.09" sheetId="46" r:id="rId4"/>
    <sheet name="2024.08" sheetId="45" r:id="rId5"/>
    <sheet name="2024.07" sheetId="44" r:id="rId6"/>
    <sheet name="2024.06" sheetId="43" r:id="rId7"/>
    <sheet name="2024.05" sheetId="42" r:id="rId8"/>
    <sheet name="2024.04" sheetId="41" r:id="rId9"/>
    <sheet name="2024.03" sheetId="40" r:id="rId10"/>
    <sheet name="2024.02" sheetId="38" r:id="rId11"/>
    <sheet name="2024.01" sheetId="37" r:id="rId12"/>
  </sheets>
  <definedNames>
    <definedName name="_xlnm._FilterDatabase" localSheetId="5" hidden="1">'2024.07'!$A$6:$X$6</definedName>
    <definedName name="_xlnm._FilterDatabase" localSheetId="2" hidden="1">'2024.10'!$A$6:$X$377</definedName>
    <definedName name="_xlnm.Print_Titles" localSheetId="11">'2024.01'!$1:$6</definedName>
    <definedName name="_xlnm.Print_Titles" localSheetId="10">'2024.02'!$1:$6</definedName>
    <definedName name="_xlnm.Print_Titles" localSheetId="9">'2024.03'!$1:$6</definedName>
    <definedName name="_xlnm.Print_Titles" localSheetId="8">'2024.04'!$1:$6</definedName>
    <definedName name="_xlnm.Print_Titles" localSheetId="7">'2024.05'!$1:$6</definedName>
    <definedName name="_xlnm.Print_Titles" localSheetId="6">'2024.06'!$1:$6</definedName>
    <definedName name="_xlnm.Print_Titles" localSheetId="5">'2024.07'!$1:$6</definedName>
    <definedName name="_xlnm.Print_Titles" localSheetId="4">'2024.08'!$1:$6</definedName>
    <definedName name="_xlnm.Print_Titles" localSheetId="3">'2024.09'!$1:$6</definedName>
    <definedName name="_xlnm.Print_Titles" localSheetId="2">'2024.10'!$1:$6</definedName>
    <definedName name="_xlnm.Print_Titles" localSheetId="1">'2024.11'!$1:$6</definedName>
    <definedName name="_xlnm.Print_Titles" localSheetId="0">'2024.12'!$1:$6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1" i="49" l="1"/>
  <c r="W381" i="49"/>
  <c r="V381" i="49"/>
  <c r="U381" i="49"/>
  <c r="T381" i="49"/>
  <c r="S381" i="49"/>
  <c r="Q381" i="49"/>
  <c r="O381" i="49"/>
  <c r="M381" i="49"/>
  <c r="K381" i="49"/>
  <c r="X380" i="49"/>
  <c r="W380" i="49"/>
  <c r="V380" i="49"/>
  <c r="U380" i="49"/>
  <c r="T380" i="49"/>
  <c r="S380" i="49"/>
  <c r="Q380" i="49"/>
  <c r="O380" i="49"/>
  <c r="M380" i="49"/>
  <c r="K380" i="49"/>
  <c r="X379" i="49"/>
  <c r="W379" i="49"/>
  <c r="V379" i="49"/>
  <c r="U379" i="49"/>
  <c r="T379" i="49"/>
  <c r="S379" i="49"/>
  <c r="Q379" i="49"/>
  <c r="O379" i="49"/>
  <c r="M379" i="49"/>
  <c r="K379" i="49"/>
  <c r="X378" i="49"/>
  <c r="W378" i="49"/>
  <c r="V378" i="49"/>
  <c r="U378" i="49"/>
  <c r="T378" i="49"/>
  <c r="S378" i="49"/>
  <c r="Q378" i="49"/>
  <c r="O378" i="49"/>
  <c r="M378" i="49"/>
  <c r="K378" i="49"/>
  <c r="X377" i="49"/>
  <c r="W377" i="49"/>
  <c r="V377" i="49"/>
  <c r="U377" i="49"/>
  <c r="T377" i="49"/>
  <c r="S377" i="49"/>
  <c r="Q377" i="49"/>
  <c r="O377" i="49"/>
  <c r="M377" i="49"/>
  <c r="K377" i="49"/>
  <c r="X376" i="49"/>
  <c r="W376" i="49"/>
  <c r="V376" i="49"/>
  <c r="U376" i="49"/>
  <c r="T376" i="49"/>
  <c r="S376" i="49"/>
  <c r="Q376" i="49"/>
  <c r="O376" i="49"/>
  <c r="M376" i="49"/>
  <c r="K376" i="49"/>
  <c r="X375" i="49"/>
  <c r="W375" i="49"/>
  <c r="V375" i="49"/>
  <c r="U375" i="49"/>
  <c r="T375" i="49"/>
  <c r="S375" i="49"/>
  <c r="Q375" i="49"/>
  <c r="O375" i="49"/>
  <c r="M375" i="49"/>
  <c r="K375" i="49"/>
  <c r="X374" i="49"/>
  <c r="W374" i="49"/>
  <c r="V374" i="49"/>
  <c r="U374" i="49"/>
  <c r="T374" i="49"/>
  <c r="S374" i="49"/>
  <c r="Q374" i="49"/>
  <c r="O374" i="49"/>
  <c r="M374" i="49"/>
  <c r="K374" i="49"/>
  <c r="X373" i="49"/>
  <c r="W373" i="49"/>
  <c r="V373" i="49"/>
  <c r="U373" i="49"/>
  <c r="T373" i="49"/>
  <c r="S373" i="49"/>
  <c r="Q373" i="49"/>
  <c r="O373" i="49"/>
  <c r="M373" i="49"/>
  <c r="K373" i="49"/>
  <c r="X372" i="49"/>
  <c r="W372" i="49"/>
  <c r="V372" i="49"/>
  <c r="U372" i="49"/>
  <c r="T372" i="49"/>
  <c r="S372" i="49"/>
  <c r="Q372" i="49"/>
  <c r="O372" i="49"/>
  <c r="M372" i="49"/>
  <c r="K372" i="49"/>
  <c r="X371" i="49"/>
  <c r="W371" i="49"/>
  <c r="V371" i="49"/>
  <c r="U371" i="49"/>
  <c r="T371" i="49"/>
  <c r="S371" i="49"/>
  <c r="Q371" i="49"/>
  <c r="O371" i="49"/>
  <c r="M371" i="49"/>
  <c r="K371" i="49"/>
  <c r="X370" i="49"/>
  <c r="W370" i="49"/>
  <c r="V370" i="49"/>
  <c r="U370" i="49"/>
  <c r="T370" i="49"/>
  <c r="S370" i="49"/>
  <c r="Q370" i="49"/>
  <c r="O370" i="49"/>
  <c r="M370" i="49"/>
  <c r="K370" i="49"/>
  <c r="X369" i="49"/>
  <c r="W369" i="49"/>
  <c r="V369" i="49"/>
  <c r="U369" i="49"/>
  <c r="T369" i="49"/>
  <c r="S369" i="49"/>
  <c r="Q369" i="49"/>
  <c r="O369" i="49"/>
  <c r="M369" i="49"/>
  <c r="K369" i="49"/>
  <c r="X368" i="49"/>
  <c r="W368" i="49"/>
  <c r="V368" i="49"/>
  <c r="U368" i="49"/>
  <c r="T368" i="49"/>
  <c r="S368" i="49"/>
  <c r="Q368" i="49"/>
  <c r="O368" i="49"/>
  <c r="M368" i="49"/>
  <c r="K368" i="49"/>
  <c r="X367" i="49"/>
  <c r="W367" i="49"/>
  <c r="V367" i="49"/>
  <c r="U367" i="49"/>
  <c r="T367" i="49"/>
  <c r="S367" i="49"/>
  <c r="Q367" i="49"/>
  <c r="O367" i="49"/>
  <c r="M367" i="49"/>
  <c r="K367" i="49"/>
  <c r="X366" i="49"/>
  <c r="W366" i="49"/>
  <c r="V366" i="49"/>
  <c r="U366" i="49"/>
  <c r="T366" i="49"/>
  <c r="S366" i="49"/>
  <c r="Q366" i="49"/>
  <c r="O366" i="49"/>
  <c r="M366" i="49"/>
  <c r="K366" i="49"/>
  <c r="X365" i="49"/>
  <c r="W365" i="49"/>
  <c r="V365" i="49"/>
  <c r="U365" i="49"/>
  <c r="T365" i="49"/>
  <c r="S365" i="49"/>
  <c r="Q365" i="49"/>
  <c r="O365" i="49"/>
  <c r="M365" i="49"/>
  <c r="K365" i="49"/>
  <c r="X364" i="49"/>
  <c r="W364" i="49"/>
  <c r="V364" i="49"/>
  <c r="U364" i="49"/>
  <c r="T364" i="49"/>
  <c r="S364" i="49"/>
  <c r="Q364" i="49"/>
  <c r="O364" i="49"/>
  <c r="M364" i="49"/>
  <c r="K364" i="49"/>
  <c r="X363" i="49"/>
  <c r="W363" i="49"/>
  <c r="V363" i="49"/>
  <c r="U363" i="49"/>
  <c r="T363" i="49"/>
  <c r="S363" i="49"/>
  <c r="Q363" i="49"/>
  <c r="O363" i="49"/>
  <c r="M363" i="49"/>
  <c r="K363" i="49"/>
  <c r="X362" i="49"/>
  <c r="W362" i="49"/>
  <c r="V362" i="49"/>
  <c r="U362" i="49"/>
  <c r="T362" i="49"/>
  <c r="S362" i="49"/>
  <c r="Q362" i="49"/>
  <c r="O362" i="49"/>
  <c r="M362" i="49"/>
  <c r="K362" i="49"/>
  <c r="X361" i="49"/>
  <c r="W361" i="49"/>
  <c r="V361" i="49"/>
  <c r="U361" i="49"/>
  <c r="T361" i="49"/>
  <c r="S361" i="49"/>
  <c r="Q361" i="49"/>
  <c r="O361" i="49"/>
  <c r="M361" i="49"/>
  <c r="K361" i="49"/>
  <c r="X360" i="49"/>
  <c r="W360" i="49"/>
  <c r="V360" i="49"/>
  <c r="U360" i="49"/>
  <c r="T360" i="49"/>
  <c r="S360" i="49"/>
  <c r="Q360" i="49"/>
  <c r="O360" i="49"/>
  <c r="M360" i="49"/>
  <c r="K360" i="49"/>
  <c r="X359" i="49"/>
  <c r="W359" i="49"/>
  <c r="V359" i="49"/>
  <c r="U359" i="49"/>
  <c r="T359" i="49"/>
  <c r="S359" i="49"/>
  <c r="Q359" i="49"/>
  <c r="O359" i="49"/>
  <c r="M359" i="49"/>
  <c r="K359" i="49"/>
  <c r="X358" i="49"/>
  <c r="W358" i="49"/>
  <c r="V358" i="49"/>
  <c r="U358" i="49"/>
  <c r="T358" i="49"/>
  <c r="S358" i="49"/>
  <c r="Q358" i="49"/>
  <c r="O358" i="49"/>
  <c r="M358" i="49"/>
  <c r="K358" i="49"/>
  <c r="X357" i="49"/>
  <c r="W357" i="49"/>
  <c r="V357" i="49"/>
  <c r="U357" i="49"/>
  <c r="T357" i="49"/>
  <c r="S357" i="49"/>
  <c r="Q357" i="49"/>
  <c r="O357" i="49"/>
  <c r="M357" i="49"/>
  <c r="K357" i="49"/>
  <c r="X356" i="49"/>
  <c r="W356" i="49"/>
  <c r="V356" i="49"/>
  <c r="U356" i="49"/>
  <c r="T356" i="49"/>
  <c r="S356" i="49"/>
  <c r="Q356" i="49"/>
  <c r="O356" i="49"/>
  <c r="M356" i="49"/>
  <c r="K356" i="49"/>
  <c r="X355" i="49"/>
  <c r="W355" i="49"/>
  <c r="V355" i="49"/>
  <c r="U355" i="49"/>
  <c r="T355" i="49"/>
  <c r="S355" i="49"/>
  <c r="Q355" i="49"/>
  <c r="O355" i="49"/>
  <c r="M355" i="49"/>
  <c r="K355" i="49"/>
  <c r="X354" i="49"/>
  <c r="W354" i="49"/>
  <c r="V354" i="49"/>
  <c r="U354" i="49"/>
  <c r="T354" i="49"/>
  <c r="S354" i="49"/>
  <c r="Q354" i="49"/>
  <c r="O354" i="49"/>
  <c r="M354" i="49"/>
  <c r="K354" i="49"/>
  <c r="X353" i="49"/>
  <c r="W353" i="49"/>
  <c r="V353" i="49"/>
  <c r="U353" i="49"/>
  <c r="T353" i="49"/>
  <c r="S353" i="49"/>
  <c r="Q353" i="49"/>
  <c r="O353" i="49"/>
  <c r="M353" i="49"/>
  <c r="K353" i="49"/>
  <c r="X352" i="49"/>
  <c r="W352" i="49"/>
  <c r="V352" i="49"/>
  <c r="U352" i="49"/>
  <c r="T352" i="49"/>
  <c r="S352" i="49"/>
  <c r="Q352" i="49"/>
  <c r="O352" i="49"/>
  <c r="M352" i="49"/>
  <c r="K352" i="49"/>
  <c r="X351" i="49"/>
  <c r="W351" i="49"/>
  <c r="V351" i="49"/>
  <c r="U351" i="49"/>
  <c r="T351" i="49"/>
  <c r="S351" i="49"/>
  <c r="Q351" i="49"/>
  <c r="O351" i="49"/>
  <c r="M351" i="49"/>
  <c r="K351" i="49"/>
  <c r="X350" i="49"/>
  <c r="W350" i="49"/>
  <c r="V350" i="49"/>
  <c r="U350" i="49"/>
  <c r="T350" i="49"/>
  <c r="S350" i="49"/>
  <c r="Q350" i="49"/>
  <c r="O350" i="49"/>
  <c r="M350" i="49"/>
  <c r="K350" i="49"/>
  <c r="X349" i="49"/>
  <c r="W349" i="49"/>
  <c r="V349" i="49"/>
  <c r="U349" i="49"/>
  <c r="T349" i="49"/>
  <c r="S349" i="49"/>
  <c r="Q349" i="49"/>
  <c r="O349" i="49"/>
  <c r="M349" i="49"/>
  <c r="K349" i="49"/>
  <c r="X348" i="49"/>
  <c r="W348" i="49"/>
  <c r="V348" i="49"/>
  <c r="U348" i="49"/>
  <c r="T348" i="49"/>
  <c r="S348" i="49"/>
  <c r="Q348" i="49"/>
  <c r="O348" i="49"/>
  <c r="M348" i="49"/>
  <c r="K348" i="49"/>
  <c r="X347" i="49"/>
  <c r="W347" i="49"/>
  <c r="V347" i="49"/>
  <c r="U347" i="49"/>
  <c r="T347" i="49"/>
  <c r="S347" i="49"/>
  <c r="Q347" i="49"/>
  <c r="O347" i="49"/>
  <c r="M347" i="49"/>
  <c r="K347" i="49"/>
  <c r="X346" i="49"/>
  <c r="W346" i="49"/>
  <c r="V346" i="49"/>
  <c r="U346" i="49"/>
  <c r="T346" i="49"/>
  <c r="S346" i="49"/>
  <c r="Q346" i="49"/>
  <c r="O346" i="49"/>
  <c r="M346" i="49"/>
  <c r="K346" i="49"/>
  <c r="X345" i="49"/>
  <c r="W345" i="49"/>
  <c r="V345" i="49"/>
  <c r="U345" i="49"/>
  <c r="T345" i="49"/>
  <c r="S345" i="49"/>
  <c r="Q345" i="49"/>
  <c r="O345" i="49"/>
  <c r="M345" i="49"/>
  <c r="K345" i="49"/>
  <c r="X344" i="49"/>
  <c r="W344" i="49"/>
  <c r="V344" i="49"/>
  <c r="U344" i="49"/>
  <c r="T344" i="49"/>
  <c r="S344" i="49"/>
  <c r="Q344" i="49"/>
  <c r="O344" i="49"/>
  <c r="M344" i="49"/>
  <c r="K344" i="49"/>
  <c r="X343" i="49"/>
  <c r="W343" i="49"/>
  <c r="V343" i="49"/>
  <c r="U343" i="49"/>
  <c r="T343" i="49"/>
  <c r="S343" i="49"/>
  <c r="Q343" i="49"/>
  <c r="O343" i="49"/>
  <c r="M343" i="49"/>
  <c r="K343" i="49"/>
  <c r="X342" i="49"/>
  <c r="W342" i="49"/>
  <c r="V342" i="49"/>
  <c r="U342" i="49"/>
  <c r="T342" i="49"/>
  <c r="S342" i="49"/>
  <c r="Q342" i="49"/>
  <c r="O342" i="49"/>
  <c r="M342" i="49"/>
  <c r="K342" i="49"/>
  <c r="X341" i="49"/>
  <c r="W341" i="49"/>
  <c r="V341" i="49"/>
  <c r="U341" i="49"/>
  <c r="T341" i="49"/>
  <c r="S341" i="49"/>
  <c r="Q341" i="49"/>
  <c r="O341" i="49"/>
  <c r="M341" i="49"/>
  <c r="K341" i="49"/>
  <c r="X340" i="49"/>
  <c r="W340" i="49"/>
  <c r="V340" i="49"/>
  <c r="U340" i="49"/>
  <c r="T340" i="49"/>
  <c r="S340" i="49"/>
  <c r="Q340" i="49"/>
  <c r="O340" i="49"/>
  <c r="M340" i="49"/>
  <c r="K340" i="49"/>
  <c r="X339" i="49"/>
  <c r="W339" i="49"/>
  <c r="V339" i="49"/>
  <c r="U339" i="49"/>
  <c r="T339" i="49"/>
  <c r="S339" i="49"/>
  <c r="Q339" i="49"/>
  <c r="O339" i="49"/>
  <c r="M339" i="49"/>
  <c r="K339" i="49"/>
  <c r="X338" i="49"/>
  <c r="W338" i="49"/>
  <c r="V338" i="49"/>
  <c r="U338" i="49"/>
  <c r="T338" i="49"/>
  <c r="S338" i="49"/>
  <c r="Q338" i="49"/>
  <c r="O338" i="49"/>
  <c r="M338" i="49"/>
  <c r="K338" i="49"/>
  <c r="X337" i="49"/>
  <c r="W337" i="49"/>
  <c r="V337" i="49"/>
  <c r="U337" i="49"/>
  <c r="T337" i="49"/>
  <c r="S337" i="49"/>
  <c r="Q337" i="49"/>
  <c r="O337" i="49"/>
  <c r="M337" i="49"/>
  <c r="K337" i="49"/>
  <c r="X336" i="49"/>
  <c r="W336" i="49"/>
  <c r="V336" i="49"/>
  <c r="U336" i="49"/>
  <c r="T336" i="49"/>
  <c r="S336" i="49"/>
  <c r="Q336" i="49"/>
  <c r="O336" i="49"/>
  <c r="M336" i="49"/>
  <c r="K336" i="49"/>
  <c r="X335" i="49"/>
  <c r="W335" i="49"/>
  <c r="V335" i="49"/>
  <c r="U335" i="49"/>
  <c r="T335" i="49"/>
  <c r="S335" i="49"/>
  <c r="Q335" i="49"/>
  <c r="O335" i="49"/>
  <c r="M335" i="49"/>
  <c r="K335" i="49"/>
  <c r="X334" i="49"/>
  <c r="W334" i="49"/>
  <c r="V334" i="49"/>
  <c r="U334" i="49"/>
  <c r="T334" i="49"/>
  <c r="S334" i="49"/>
  <c r="Q334" i="49"/>
  <c r="O334" i="49"/>
  <c r="M334" i="49"/>
  <c r="K334" i="49"/>
  <c r="X333" i="49"/>
  <c r="W333" i="49"/>
  <c r="V333" i="49"/>
  <c r="U333" i="49"/>
  <c r="T333" i="49"/>
  <c r="S333" i="49"/>
  <c r="Q333" i="49"/>
  <c r="O333" i="49"/>
  <c r="M333" i="49"/>
  <c r="K333" i="49"/>
  <c r="X332" i="49"/>
  <c r="W332" i="49"/>
  <c r="V332" i="49"/>
  <c r="U332" i="49"/>
  <c r="T332" i="49"/>
  <c r="S332" i="49"/>
  <c r="Q332" i="49"/>
  <c r="O332" i="49"/>
  <c r="M332" i="49"/>
  <c r="K332" i="49"/>
  <c r="X331" i="49"/>
  <c r="W331" i="49"/>
  <c r="V331" i="49"/>
  <c r="U331" i="49"/>
  <c r="T331" i="49"/>
  <c r="S331" i="49"/>
  <c r="Q331" i="49"/>
  <c r="O331" i="49"/>
  <c r="M331" i="49"/>
  <c r="K331" i="49"/>
  <c r="X330" i="49"/>
  <c r="W330" i="49"/>
  <c r="V330" i="49"/>
  <c r="U330" i="49"/>
  <c r="T330" i="49"/>
  <c r="S330" i="49"/>
  <c r="Q330" i="49"/>
  <c r="O330" i="49"/>
  <c r="M330" i="49"/>
  <c r="K330" i="49"/>
  <c r="X329" i="49"/>
  <c r="W329" i="49"/>
  <c r="V329" i="49"/>
  <c r="U329" i="49"/>
  <c r="T329" i="49"/>
  <c r="S329" i="49"/>
  <c r="Q329" i="49"/>
  <c r="O329" i="49"/>
  <c r="M329" i="49"/>
  <c r="K329" i="49"/>
  <c r="X328" i="49"/>
  <c r="W328" i="49"/>
  <c r="V328" i="49"/>
  <c r="U328" i="49"/>
  <c r="T328" i="49"/>
  <c r="S328" i="49"/>
  <c r="Q328" i="49"/>
  <c r="O328" i="49"/>
  <c r="M328" i="49"/>
  <c r="K328" i="49"/>
  <c r="X327" i="49"/>
  <c r="W327" i="49"/>
  <c r="V327" i="49"/>
  <c r="U327" i="49"/>
  <c r="T327" i="49"/>
  <c r="S327" i="49"/>
  <c r="Q327" i="49"/>
  <c r="O327" i="49"/>
  <c r="M327" i="49"/>
  <c r="K327" i="49"/>
  <c r="X326" i="49"/>
  <c r="W326" i="49"/>
  <c r="V326" i="49"/>
  <c r="U326" i="49"/>
  <c r="T326" i="49"/>
  <c r="S326" i="49"/>
  <c r="Q326" i="49"/>
  <c r="O326" i="49"/>
  <c r="M326" i="49"/>
  <c r="K326" i="49"/>
  <c r="X325" i="49"/>
  <c r="W325" i="49"/>
  <c r="V325" i="49"/>
  <c r="U325" i="49"/>
  <c r="T325" i="49"/>
  <c r="S325" i="49"/>
  <c r="Q325" i="49"/>
  <c r="O325" i="49"/>
  <c r="M325" i="49"/>
  <c r="K325" i="49"/>
  <c r="X324" i="49"/>
  <c r="W324" i="49"/>
  <c r="V324" i="49"/>
  <c r="U324" i="49"/>
  <c r="T324" i="49"/>
  <c r="S324" i="49"/>
  <c r="Q324" i="49"/>
  <c r="O324" i="49"/>
  <c r="M324" i="49"/>
  <c r="K324" i="49"/>
  <c r="X323" i="49"/>
  <c r="W323" i="49"/>
  <c r="V323" i="49"/>
  <c r="U323" i="49"/>
  <c r="T323" i="49"/>
  <c r="S323" i="49"/>
  <c r="Q323" i="49"/>
  <c r="O323" i="49"/>
  <c r="M323" i="49"/>
  <c r="K323" i="49"/>
  <c r="X322" i="49"/>
  <c r="W322" i="49"/>
  <c r="V322" i="49"/>
  <c r="U322" i="49"/>
  <c r="T322" i="49"/>
  <c r="S322" i="49"/>
  <c r="Q322" i="49"/>
  <c r="O322" i="49"/>
  <c r="M322" i="49"/>
  <c r="K322" i="49"/>
  <c r="X321" i="49"/>
  <c r="W321" i="49"/>
  <c r="V321" i="49"/>
  <c r="U321" i="49"/>
  <c r="T321" i="49"/>
  <c r="S321" i="49"/>
  <c r="Q321" i="49"/>
  <c r="O321" i="49"/>
  <c r="M321" i="49"/>
  <c r="K321" i="49"/>
  <c r="X320" i="49"/>
  <c r="W320" i="49"/>
  <c r="V320" i="49"/>
  <c r="U320" i="49"/>
  <c r="T320" i="49"/>
  <c r="S320" i="49"/>
  <c r="Q320" i="49"/>
  <c r="O320" i="49"/>
  <c r="M320" i="49"/>
  <c r="K320" i="49"/>
  <c r="X319" i="49"/>
  <c r="W319" i="49"/>
  <c r="V319" i="49"/>
  <c r="U319" i="49"/>
  <c r="T319" i="49"/>
  <c r="S319" i="49"/>
  <c r="Q319" i="49"/>
  <c r="O319" i="49"/>
  <c r="M319" i="49"/>
  <c r="K319" i="49"/>
  <c r="X318" i="49"/>
  <c r="W318" i="49"/>
  <c r="V318" i="49"/>
  <c r="U318" i="49"/>
  <c r="T318" i="49"/>
  <c r="S318" i="49"/>
  <c r="Q318" i="49"/>
  <c r="O318" i="49"/>
  <c r="M318" i="49"/>
  <c r="K318" i="49"/>
  <c r="X317" i="49"/>
  <c r="W317" i="49"/>
  <c r="V317" i="49"/>
  <c r="U317" i="49"/>
  <c r="T317" i="49"/>
  <c r="S317" i="49"/>
  <c r="Q317" i="49"/>
  <c r="O317" i="49"/>
  <c r="M317" i="49"/>
  <c r="K317" i="49"/>
  <c r="X316" i="49"/>
  <c r="W316" i="49"/>
  <c r="V316" i="49"/>
  <c r="U316" i="49"/>
  <c r="T316" i="49"/>
  <c r="S316" i="49"/>
  <c r="Q316" i="49"/>
  <c r="O316" i="49"/>
  <c r="M316" i="49"/>
  <c r="K316" i="49"/>
  <c r="X315" i="49"/>
  <c r="W315" i="49"/>
  <c r="V315" i="49"/>
  <c r="U315" i="49"/>
  <c r="T315" i="49"/>
  <c r="S315" i="49"/>
  <c r="Q315" i="49"/>
  <c r="O315" i="49"/>
  <c r="M315" i="49"/>
  <c r="K315" i="49"/>
  <c r="X314" i="49"/>
  <c r="W314" i="49"/>
  <c r="V314" i="49"/>
  <c r="U314" i="49"/>
  <c r="T314" i="49"/>
  <c r="S314" i="49"/>
  <c r="Q314" i="49"/>
  <c r="O314" i="49"/>
  <c r="M314" i="49"/>
  <c r="K314" i="49"/>
  <c r="X313" i="49"/>
  <c r="W313" i="49"/>
  <c r="V313" i="49"/>
  <c r="U313" i="49"/>
  <c r="T313" i="49"/>
  <c r="S313" i="49"/>
  <c r="Q313" i="49"/>
  <c r="O313" i="49"/>
  <c r="M313" i="49"/>
  <c r="K313" i="49"/>
  <c r="X312" i="49"/>
  <c r="W312" i="49"/>
  <c r="V312" i="49"/>
  <c r="U312" i="49"/>
  <c r="T312" i="49"/>
  <c r="S312" i="49"/>
  <c r="Q312" i="49"/>
  <c r="O312" i="49"/>
  <c r="M312" i="49"/>
  <c r="K312" i="49"/>
  <c r="X311" i="49"/>
  <c r="W311" i="49"/>
  <c r="V311" i="49"/>
  <c r="U311" i="49"/>
  <c r="T311" i="49"/>
  <c r="S311" i="49"/>
  <c r="Q311" i="49"/>
  <c r="O311" i="49"/>
  <c r="M311" i="49"/>
  <c r="K311" i="49"/>
  <c r="X310" i="49"/>
  <c r="W310" i="49"/>
  <c r="V310" i="49"/>
  <c r="U310" i="49"/>
  <c r="T310" i="49"/>
  <c r="S310" i="49"/>
  <c r="Q310" i="49"/>
  <c r="O310" i="49"/>
  <c r="M310" i="49"/>
  <c r="K310" i="49"/>
  <c r="X309" i="49"/>
  <c r="W309" i="49"/>
  <c r="V309" i="49"/>
  <c r="U309" i="49"/>
  <c r="T309" i="49"/>
  <c r="S309" i="49"/>
  <c r="Q309" i="49"/>
  <c r="O309" i="49"/>
  <c r="M309" i="49"/>
  <c r="K309" i="49"/>
  <c r="X308" i="49"/>
  <c r="W308" i="49"/>
  <c r="V308" i="49"/>
  <c r="U308" i="49"/>
  <c r="T308" i="49"/>
  <c r="S308" i="49"/>
  <c r="Q308" i="49"/>
  <c r="O308" i="49"/>
  <c r="M308" i="49"/>
  <c r="K308" i="49"/>
  <c r="X307" i="49"/>
  <c r="W307" i="49"/>
  <c r="V307" i="49"/>
  <c r="U307" i="49"/>
  <c r="T307" i="49"/>
  <c r="S307" i="49"/>
  <c r="Q307" i="49"/>
  <c r="O307" i="49"/>
  <c r="M307" i="49"/>
  <c r="K307" i="49"/>
  <c r="X306" i="49"/>
  <c r="W306" i="49"/>
  <c r="V306" i="49"/>
  <c r="U306" i="49"/>
  <c r="T306" i="49"/>
  <c r="S306" i="49"/>
  <c r="Q306" i="49"/>
  <c r="O306" i="49"/>
  <c r="M306" i="49"/>
  <c r="K306" i="49"/>
  <c r="X305" i="49"/>
  <c r="W305" i="49"/>
  <c r="V305" i="49"/>
  <c r="U305" i="49"/>
  <c r="T305" i="49"/>
  <c r="S305" i="49"/>
  <c r="Q305" i="49"/>
  <c r="O305" i="49"/>
  <c r="M305" i="49"/>
  <c r="K305" i="49"/>
  <c r="X304" i="49"/>
  <c r="W304" i="49"/>
  <c r="V304" i="49"/>
  <c r="U304" i="49"/>
  <c r="T304" i="49"/>
  <c r="S304" i="49"/>
  <c r="Q304" i="49"/>
  <c r="O304" i="49"/>
  <c r="M304" i="49"/>
  <c r="K304" i="49"/>
  <c r="X303" i="49"/>
  <c r="W303" i="49"/>
  <c r="V303" i="49"/>
  <c r="U303" i="49"/>
  <c r="T303" i="49"/>
  <c r="S303" i="49"/>
  <c r="Q303" i="49"/>
  <c r="O303" i="49"/>
  <c r="M303" i="49"/>
  <c r="K303" i="49"/>
  <c r="X302" i="49"/>
  <c r="W302" i="49"/>
  <c r="V302" i="49"/>
  <c r="U302" i="49"/>
  <c r="T302" i="49"/>
  <c r="S302" i="49"/>
  <c r="Q302" i="49"/>
  <c r="O302" i="49"/>
  <c r="M302" i="49"/>
  <c r="K302" i="49"/>
  <c r="X301" i="49"/>
  <c r="W301" i="49"/>
  <c r="V301" i="49"/>
  <c r="U301" i="49"/>
  <c r="T301" i="49"/>
  <c r="S301" i="49"/>
  <c r="Q301" i="49"/>
  <c r="O301" i="49"/>
  <c r="M301" i="49"/>
  <c r="K301" i="49"/>
  <c r="X300" i="49"/>
  <c r="W300" i="49"/>
  <c r="V300" i="49"/>
  <c r="U300" i="49"/>
  <c r="T300" i="49"/>
  <c r="S300" i="49"/>
  <c r="Q300" i="49"/>
  <c r="O300" i="49"/>
  <c r="M300" i="49"/>
  <c r="K300" i="49"/>
  <c r="X299" i="49"/>
  <c r="W299" i="49"/>
  <c r="V299" i="49"/>
  <c r="U299" i="49"/>
  <c r="T299" i="49"/>
  <c r="S299" i="49"/>
  <c r="Q299" i="49"/>
  <c r="O299" i="49"/>
  <c r="M299" i="49"/>
  <c r="K299" i="49"/>
  <c r="X298" i="49"/>
  <c r="W298" i="49"/>
  <c r="V298" i="49"/>
  <c r="U298" i="49"/>
  <c r="T298" i="49"/>
  <c r="S298" i="49"/>
  <c r="Q298" i="49"/>
  <c r="O298" i="49"/>
  <c r="M298" i="49"/>
  <c r="K298" i="49"/>
  <c r="X297" i="49"/>
  <c r="W297" i="49"/>
  <c r="V297" i="49"/>
  <c r="U297" i="49"/>
  <c r="T297" i="49"/>
  <c r="S297" i="49"/>
  <c r="Q297" i="49"/>
  <c r="O297" i="49"/>
  <c r="M297" i="49"/>
  <c r="K297" i="49"/>
  <c r="X296" i="49"/>
  <c r="W296" i="49"/>
  <c r="V296" i="49"/>
  <c r="U296" i="49"/>
  <c r="T296" i="49"/>
  <c r="S296" i="49"/>
  <c r="Q296" i="49"/>
  <c r="O296" i="49"/>
  <c r="M296" i="49"/>
  <c r="K296" i="49"/>
  <c r="X295" i="49"/>
  <c r="W295" i="49"/>
  <c r="V295" i="49"/>
  <c r="U295" i="49"/>
  <c r="T295" i="49"/>
  <c r="S295" i="49"/>
  <c r="Q295" i="49"/>
  <c r="O295" i="49"/>
  <c r="M295" i="49"/>
  <c r="K295" i="49"/>
  <c r="X294" i="49"/>
  <c r="W294" i="49"/>
  <c r="V294" i="49"/>
  <c r="U294" i="49"/>
  <c r="T294" i="49"/>
  <c r="S294" i="49"/>
  <c r="Q294" i="49"/>
  <c r="O294" i="49"/>
  <c r="M294" i="49"/>
  <c r="K294" i="49"/>
  <c r="X293" i="49"/>
  <c r="W293" i="49"/>
  <c r="V293" i="49"/>
  <c r="U293" i="49"/>
  <c r="T293" i="49"/>
  <c r="S293" i="49"/>
  <c r="Q293" i="49"/>
  <c r="O293" i="49"/>
  <c r="M293" i="49"/>
  <c r="K293" i="49"/>
  <c r="X292" i="49"/>
  <c r="W292" i="49"/>
  <c r="V292" i="49"/>
  <c r="U292" i="49"/>
  <c r="T292" i="49"/>
  <c r="S292" i="49"/>
  <c r="Q292" i="49"/>
  <c r="O292" i="49"/>
  <c r="M292" i="49"/>
  <c r="K292" i="49"/>
  <c r="X291" i="49"/>
  <c r="W291" i="49"/>
  <c r="V291" i="49"/>
  <c r="U291" i="49"/>
  <c r="T291" i="49"/>
  <c r="S291" i="49"/>
  <c r="Q291" i="49"/>
  <c r="O291" i="49"/>
  <c r="M291" i="49"/>
  <c r="K291" i="49"/>
  <c r="X290" i="49"/>
  <c r="W290" i="49"/>
  <c r="V290" i="49"/>
  <c r="U290" i="49"/>
  <c r="T290" i="49"/>
  <c r="S290" i="49"/>
  <c r="Q290" i="49"/>
  <c r="O290" i="49"/>
  <c r="M290" i="49"/>
  <c r="K290" i="49"/>
  <c r="X289" i="49"/>
  <c r="W289" i="49"/>
  <c r="V289" i="49"/>
  <c r="U289" i="49"/>
  <c r="T289" i="49"/>
  <c r="S289" i="49"/>
  <c r="Q289" i="49"/>
  <c r="O289" i="49"/>
  <c r="M289" i="49"/>
  <c r="K289" i="49"/>
  <c r="X288" i="49"/>
  <c r="W288" i="49"/>
  <c r="V288" i="49"/>
  <c r="U288" i="49"/>
  <c r="T288" i="49"/>
  <c r="S288" i="49"/>
  <c r="Q288" i="49"/>
  <c r="O288" i="49"/>
  <c r="M288" i="49"/>
  <c r="K288" i="49"/>
  <c r="X287" i="49"/>
  <c r="W287" i="49"/>
  <c r="V287" i="49"/>
  <c r="U287" i="49"/>
  <c r="T287" i="49"/>
  <c r="S287" i="49"/>
  <c r="Q287" i="49"/>
  <c r="O287" i="49"/>
  <c r="M287" i="49"/>
  <c r="K287" i="49"/>
  <c r="X286" i="49"/>
  <c r="W286" i="49"/>
  <c r="V286" i="49"/>
  <c r="U286" i="49"/>
  <c r="T286" i="49"/>
  <c r="S286" i="49"/>
  <c r="Q286" i="49"/>
  <c r="O286" i="49"/>
  <c r="M286" i="49"/>
  <c r="K286" i="49"/>
  <c r="X285" i="49"/>
  <c r="W285" i="49"/>
  <c r="V285" i="49"/>
  <c r="U285" i="49"/>
  <c r="T285" i="49"/>
  <c r="S285" i="49"/>
  <c r="Q285" i="49"/>
  <c r="O285" i="49"/>
  <c r="M285" i="49"/>
  <c r="K285" i="49"/>
  <c r="X284" i="49"/>
  <c r="W284" i="49"/>
  <c r="V284" i="49"/>
  <c r="U284" i="49"/>
  <c r="T284" i="49"/>
  <c r="S284" i="49"/>
  <c r="Q284" i="49"/>
  <c r="O284" i="49"/>
  <c r="M284" i="49"/>
  <c r="K284" i="49"/>
  <c r="X283" i="49"/>
  <c r="W283" i="49"/>
  <c r="V283" i="49"/>
  <c r="U283" i="49"/>
  <c r="T283" i="49"/>
  <c r="S283" i="49"/>
  <c r="Q283" i="49"/>
  <c r="O283" i="49"/>
  <c r="M283" i="49"/>
  <c r="K283" i="49"/>
  <c r="X282" i="49"/>
  <c r="W282" i="49"/>
  <c r="V282" i="49"/>
  <c r="U282" i="49"/>
  <c r="T282" i="49"/>
  <c r="S282" i="49"/>
  <c r="Q282" i="49"/>
  <c r="O282" i="49"/>
  <c r="M282" i="49"/>
  <c r="K282" i="49"/>
  <c r="X281" i="49"/>
  <c r="W281" i="49"/>
  <c r="V281" i="49"/>
  <c r="U281" i="49"/>
  <c r="T281" i="49"/>
  <c r="S281" i="49"/>
  <c r="Q281" i="49"/>
  <c r="O281" i="49"/>
  <c r="M281" i="49"/>
  <c r="K281" i="49"/>
  <c r="X280" i="49"/>
  <c r="W280" i="49"/>
  <c r="V280" i="49"/>
  <c r="U280" i="49"/>
  <c r="T280" i="49"/>
  <c r="S280" i="49"/>
  <c r="Q280" i="49"/>
  <c r="O280" i="49"/>
  <c r="M280" i="49"/>
  <c r="K280" i="49"/>
  <c r="X279" i="49"/>
  <c r="W279" i="49"/>
  <c r="V279" i="49"/>
  <c r="U279" i="49"/>
  <c r="T279" i="49"/>
  <c r="S279" i="49"/>
  <c r="Q279" i="49"/>
  <c r="O279" i="49"/>
  <c r="M279" i="49"/>
  <c r="K279" i="49"/>
  <c r="X278" i="49"/>
  <c r="W278" i="49"/>
  <c r="V278" i="49"/>
  <c r="U278" i="49"/>
  <c r="T278" i="49"/>
  <c r="S278" i="49"/>
  <c r="Q278" i="49"/>
  <c r="O278" i="49"/>
  <c r="M278" i="49"/>
  <c r="K278" i="49"/>
  <c r="X277" i="49"/>
  <c r="W277" i="49"/>
  <c r="V277" i="49"/>
  <c r="U277" i="49"/>
  <c r="T277" i="49"/>
  <c r="S277" i="49"/>
  <c r="Q277" i="49"/>
  <c r="O277" i="49"/>
  <c r="M277" i="49"/>
  <c r="K277" i="49"/>
  <c r="X276" i="49"/>
  <c r="W276" i="49"/>
  <c r="V276" i="49"/>
  <c r="U276" i="49"/>
  <c r="T276" i="49"/>
  <c r="S276" i="49"/>
  <c r="Q276" i="49"/>
  <c r="O276" i="49"/>
  <c r="M276" i="49"/>
  <c r="K276" i="49"/>
  <c r="X275" i="49"/>
  <c r="W275" i="49"/>
  <c r="V275" i="49"/>
  <c r="U275" i="49"/>
  <c r="T275" i="49"/>
  <c r="S275" i="49"/>
  <c r="Q275" i="49"/>
  <c r="O275" i="49"/>
  <c r="M275" i="49"/>
  <c r="K275" i="49"/>
  <c r="X274" i="49"/>
  <c r="W274" i="49"/>
  <c r="V274" i="49"/>
  <c r="U274" i="49"/>
  <c r="T274" i="49"/>
  <c r="S274" i="49"/>
  <c r="Q274" i="49"/>
  <c r="O274" i="49"/>
  <c r="M274" i="49"/>
  <c r="K274" i="49"/>
  <c r="X273" i="49"/>
  <c r="W273" i="49"/>
  <c r="V273" i="49"/>
  <c r="U273" i="49"/>
  <c r="T273" i="49"/>
  <c r="S273" i="49"/>
  <c r="Q273" i="49"/>
  <c r="O273" i="49"/>
  <c r="M273" i="49"/>
  <c r="K273" i="49"/>
  <c r="X272" i="49"/>
  <c r="W272" i="49"/>
  <c r="V272" i="49"/>
  <c r="U272" i="49"/>
  <c r="T272" i="49"/>
  <c r="S272" i="49"/>
  <c r="Q272" i="49"/>
  <c r="O272" i="49"/>
  <c r="M272" i="49"/>
  <c r="K272" i="49"/>
  <c r="X271" i="49"/>
  <c r="W271" i="49"/>
  <c r="V271" i="49"/>
  <c r="U271" i="49"/>
  <c r="T271" i="49"/>
  <c r="S271" i="49"/>
  <c r="Q271" i="49"/>
  <c r="O271" i="49"/>
  <c r="M271" i="49"/>
  <c r="K271" i="49"/>
  <c r="X270" i="49"/>
  <c r="W270" i="49"/>
  <c r="V270" i="49"/>
  <c r="U270" i="49"/>
  <c r="T270" i="49"/>
  <c r="S270" i="49"/>
  <c r="Q270" i="49"/>
  <c r="O270" i="49"/>
  <c r="M270" i="49"/>
  <c r="K270" i="49"/>
  <c r="X269" i="49"/>
  <c r="W269" i="49"/>
  <c r="V269" i="49"/>
  <c r="U269" i="49"/>
  <c r="T269" i="49"/>
  <c r="S269" i="49"/>
  <c r="Q269" i="49"/>
  <c r="O269" i="49"/>
  <c r="M269" i="49"/>
  <c r="K269" i="49"/>
  <c r="X268" i="49"/>
  <c r="W268" i="49"/>
  <c r="V268" i="49"/>
  <c r="U268" i="49"/>
  <c r="T268" i="49"/>
  <c r="S268" i="49"/>
  <c r="Q268" i="49"/>
  <c r="O268" i="49"/>
  <c r="M268" i="49"/>
  <c r="K268" i="49"/>
  <c r="X267" i="49"/>
  <c r="W267" i="49"/>
  <c r="V267" i="49"/>
  <c r="U267" i="49"/>
  <c r="T267" i="49"/>
  <c r="S267" i="49"/>
  <c r="Q267" i="49"/>
  <c r="O267" i="49"/>
  <c r="M267" i="49"/>
  <c r="K267" i="49"/>
  <c r="X266" i="49"/>
  <c r="W266" i="49"/>
  <c r="V266" i="49"/>
  <c r="U266" i="49"/>
  <c r="T266" i="49"/>
  <c r="S266" i="49"/>
  <c r="Q266" i="49"/>
  <c r="O266" i="49"/>
  <c r="M266" i="49"/>
  <c r="K266" i="49"/>
  <c r="X265" i="49"/>
  <c r="W265" i="49"/>
  <c r="V265" i="49"/>
  <c r="U265" i="49"/>
  <c r="T265" i="49"/>
  <c r="S265" i="49"/>
  <c r="Q265" i="49"/>
  <c r="O265" i="49"/>
  <c r="M265" i="49"/>
  <c r="K265" i="49"/>
  <c r="X264" i="49"/>
  <c r="W264" i="49"/>
  <c r="V264" i="49"/>
  <c r="U264" i="49"/>
  <c r="T264" i="49"/>
  <c r="S264" i="49"/>
  <c r="Q264" i="49"/>
  <c r="O264" i="49"/>
  <c r="M264" i="49"/>
  <c r="K264" i="49"/>
  <c r="X263" i="49"/>
  <c r="W263" i="49"/>
  <c r="V263" i="49"/>
  <c r="U263" i="49"/>
  <c r="T263" i="49"/>
  <c r="S263" i="49"/>
  <c r="Q263" i="49"/>
  <c r="O263" i="49"/>
  <c r="M263" i="49"/>
  <c r="K263" i="49"/>
  <c r="X262" i="49"/>
  <c r="W262" i="49"/>
  <c r="V262" i="49"/>
  <c r="U262" i="49"/>
  <c r="T262" i="49"/>
  <c r="S262" i="49"/>
  <c r="Q262" i="49"/>
  <c r="O262" i="49"/>
  <c r="M262" i="49"/>
  <c r="K262" i="49"/>
  <c r="X261" i="49"/>
  <c r="W261" i="49"/>
  <c r="V261" i="49"/>
  <c r="U261" i="49"/>
  <c r="T261" i="49"/>
  <c r="S261" i="49"/>
  <c r="Q261" i="49"/>
  <c r="O261" i="49"/>
  <c r="M261" i="49"/>
  <c r="K261" i="49"/>
  <c r="X260" i="49"/>
  <c r="W260" i="49"/>
  <c r="V260" i="49"/>
  <c r="U260" i="49"/>
  <c r="T260" i="49"/>
  <c r="S260" i="49"/>
  <c r="Q260" i="49"/>
  <c r="O260" i="49"/>
  <c r="M260" i="49"/>
  <c r="K260" i="49"/>
  <c r="X259" i="49"/>
  <c r="W259" i="49"/>
  <c r="V259" i="49"/>
  <c r="U259" i="49"/>
  <c r="T259" i="49"/>
  <c r="S259" i="49"/>
  <c r="Q259" i="49"/>
  <c r="O259" i="49"/>
  <c r="M259" i="49"/>
  <c r="K259" i="49"/>
  <c r="X258" i="49"/>
  <c r="W258" i="49"/>
  <c r="V258" i="49"/>
  <c r="U258" i="49"/>
  <c r="T258" i="49"/>
  <c r="S258" i="49"/>
  <c r="Q258" i="49"/>
  <c r="O258" i="49"/>
  <c r="M258" i="49"/>
  <c r="K258" i="49"/>
  <c r="X257" i="49"/>
  <c r="W257" i="49"/>
  <c r="V257" i="49"/>
  <c r="U257" i="49"/>
  <c r="T257" i="49"/>
  <c r="S257" i="49"/>
  <c r="Q257" i="49"/>
  <c r="O257" i="49"/>
  <c r="M257" i="49"/>
  <c r="K257" i="49"/>
  <c r="X256" i="49"/>
  <c r="W256" i="49"/>
  <c r="V256" i="49"/>
  <c r="U256" i="49"/>
  <c r="T256" i="49"/>
  <c r="S256" i="49"/>
  <c r="Q256" i="49"/>
  <c r="O256" i="49"/>
  <c r="M256" i="49"/>
  <c r="K256" i="49"/>
  <c r="X255" i="49"/>
  <c r="W255" i="49"/>
  <c r="V255" i="49"/>
  <c r="U255" i="49"/>
  <c r="T255" i="49"/>
  <c r="S255" i="49"/>
  <c r="Q255" i="49"/>
  <c r="O255" i="49"/>
  <c r="M255" i="49"/>
  <c r="K255" i="49"/>
  <c r="X254" i="49"/>
  <c r="W254" i="49"/>
  <c r="V254" i="49"/>
  <c r="U254" i="49"/>
  <c r="T254" i="49"/>
  <c r="S254" i="49"/>
  <c r="Q254" i="49"/>
  <c r="O254" i="49"/>
  <c r="M254" i="49"/>
  <c r="K254" i="49"/>
  <c r="X253" i="49"/>
  <c r="W253" i="49"/>
  <c r="V253" i="49"/>
  <c r="U253" i="49"/>
  <c r="T253" i="49"/>
  <c r="S253" i="49"/>
  <c r="Q253" i="49"/>
  <c r="O253" i="49"/>
  <c r="M253" i="49"/>
  <c r="K253" i="49"/>
  <c r="X252" i="49"/>
  <c r="W252" i="49"/>
  <c r="V252" i="49"/>
  <c r="U252" i="49"/>
  <c r="T252" i="49"/>
  <c r="S252" i="49"/>
  <c r="Q252" i="49"/>
  <c r="O252" i="49"/>
  <c r="M252" i="49"/>
  <c r="K252" i="49"/>
  <c r="X251" i="49"/>
  <c r="W251" i="49"/>
  <c r="V251" i="49"/>
  <c r="U251" i="49"/>
  <c r="T251" i="49"/>
  <c r="S251" i="49"/>
  <c r="Q251" i="49"/>
  <c r="O251" i="49"/>
  <c r="M251" i="49"/>
  <c r="K251" i="49"/>
  <c r="X250" i="49"/>
  <c r="W250" i="49"/>
  <c r="V250" i="49"/>
  <c r="U250" i="49"/>
  <c r="T250" i="49"/>
  <c r="S250" i="49"/>
  <c r="Q250" i="49"/>
  <c r="O250" i="49"/>
  <c r="M250" i="49"/>
  <c r="K250" i="49"/>
  <c r="X249" i="49"/>
  <c r="W249" i="49"/>
  <c r="V249" i="49"/>
  <c r="U249" i="49"/>
  <c r="T249" i="49"/>
  <c r="S249" i="49"/>
  <c r="Q249" i="49"/>
  <c r="O249" i="49"/>
  <c r="M249" i="49"/>
  <c r="K249" i="49"/>
  <c r="X248" i="49"/>
  <c r="W248" i="49"/>
  <c r="V248" i="49"/>
  <c r="U248" i="49"/>
  <c r="T248" i="49"/>
  <c r="S248" i="49"/>
  <c r="Q248" i="49"/>
  <c r="O248" i="49"/>
  <c r="M248" i="49"/>
  <c r="K248" i="49"/>
  <c r="X247" i="49"/>
  <c r="W247" i="49"/>
  <c r="V247" i="49"/>
  <c r="U247" i="49"/>
  <c r="T247" i="49"/>
  <c r="S247" i="49"/>
  <c r="Q247" i="49"/>
  <c r="O247" i="49"/>
  <c r="M247" i="49"/>
  <c r="K247" i="49"/>
  <c r="X246" i="49"/>
  <c r="W246" i="49"/>
  <c r="V246" i="49"/>
  <c r="U246" i="49"/>
  <c r="T246" i="49"/>
  <c r="S246" i="49"/>
  <c r="Q246" i="49"/>
  <c r="O246" i="49"/>
  <c r="M246" i="49"/>
  <c r="K246" i="49"/>
  <c r="X245" i="49"/>
  <c r="W245" i="49"/>
  <c r="V245" i="49"/>
  <c r="U245" i="49"/>
  <c r="T245" i="49"/>
  <c r="S245" i="49"/>
  <c r="Q245" i="49"/>
  <c r="O245" i="49"/>
  <c r="M245" i="49"/>
  <c r="K245" i="49"/>
  <c r="X244" i="49"/>
  <c r="W244" i="49"/>
  <c r="V244" i="49"/>
  <c r="U244" i="49"/>
  <c r="T244" i="49"/>
  <c r="S244" i="49"/>
  <c r="Q244" i="49"/>
  <c r="O244" i="49"/>
  <c r="M244" i="49"/>
  <c r="K244" i="49"/>
  <c r="X243" i="49"/>
  <c r="W243" i="49"/>
  <c r="V243" i="49"/>
  <c r="U243" i="49"/>
  <c r="T243" i="49"/>
  <c r="S243" i="49"/>
  <c r="Q243" i="49"/>
  <c r="O243" i="49"/>
  <c r="M243" i="49"/>
  <c r="K243" i="49"/>
  <c r="X242" i="49"/>
  <c r="W242" i="49"/>
  <c r="V242" i="49"/>
  <c r="U242" i="49"/>
  <c r="T242" i="49"/>
  <c r="S242" i="49"/>
  <c r="Q242" i="49"/>
  <c r="O242" i="49"/>
  <c r="M242" i="49"/>
  <c r="K242" i="49"/>
  <c r="X241" i="49"/>
  <c r="W241" i="49"/>
  <c r="V241" i="49"/>
  <c r="U241" i="49"/>
  <c r="T241" i="49"/>
  <c r="S241" i="49"/>
  <c r="Q241" i="49"/>
  <c r="O241" i="49"/>
  <c r="M241" i="49"/>
  <c r="K241" i="49"/>
  <c r="X240" i="49"/>
  <c r="W240" i="49"/>
  <c r="V240" i="49"/>
  <c r="U240" i="49"/>
  <c r="T240" i="49"/>
  <c r="S240" i="49"/>
  <c r="Q240" i="49"/>
  <c r="O240" i="49"/>
  <c r="M240" i="49"/>
  <c r="K240" i="49"/>
  <c r="X239" i="49"/>
  <c r="W239" i="49"/>
  <c r="V239" i="49"/>
  <c r="U239" i="49"/>
  <c r="T239" i="49"/>
  <c r="S239" i="49"/>
  <c r="Q239" i="49"/>
  <c r="O239" i="49"/>
  <c r="M239" i="49"/>
  <c r="K239" i="49"/>
  <c r="X238" i="49"/>
  <c r="W238" i="49"/>
  <c r="V238" i="49"/>
  <c r="U238" i="49"/>
  <c r="T238" i="49"/>
  <c r="S238" i="49"/>
  <c r="Q238" i="49"/>
  <c r="O238" i="49"/>
  <c r="M238" i="49"/>
  <c r="K238" i="49"/>
  <c r="X237" i="49"/>
  <c r="W237" i="49"/>
  <c r="V237" i="49"/>
  <c r="U237" i="49"/>
  <c r="T237" i="49"/>
  <c r="S237" i="49"/>
  <c r="Q237" i="49"/>
  <c r="O237" i="49"/>
  <c r="M237" i="49"/>
  <c r="K237" i="49"/>
  <c r="X236" i="49"/>
  <c r="W236" i="49"/>
  <c r="V236" i="49"/>
  <c r="U236" i="49"/>
  <c r="T236" i="49"/>
  <c r="S236" i="49"/>
  <c r="Q236" i="49"/>
  <c r="O236" i="49"/>
  <c r="M236" i="49"/>
  <c r="K236" i="49"/>
  <c r="X235" i="49"/>
  <c r="W235" i="49"/>
  <c r="V235" i="49"/>
  <c r="U235" i="49"/>
  <c r="T235" i="49"/>
  <c r="S235" i="49"/>
  <c r="Q235" i="49"/>
  <c r="O235" i="49"/>
  <c r="M235" i="49"/>
  <c r="K235" i="49"/>
  <c r="X234" i="49"/>
  <c r="W234" i="49"/>
  <c r="V234" i="49"/>
  <c r="U234" i="49"/>
  <c r="T234" i="49"/>
  <c r="S234" i="49"/>
  <c r="Q234" i="49"/>
  <c r="O234" i="49"/>
  <c r="M234" i="49"/>
  <c r="K234" i="49"/>
  <c r="X233" i="49"/>
  <c r="W233" i="49"/>
  <c r="V233" i="49"/>
  <c r="U233" i="49"/>
  <c r="T233" i="49"/>
  <c r="S233" i="49"/>
  <c r="Q233" i="49"/>
  <c r="O233" i="49"/>
  <c r="M233" i="49"/>
  <c r="K233" i="49"/>
  <c r="X232" i="49"/>
  <c r="W232" i="49"/>
  <c r="V232" i="49"/>
  <c r="U232" i="49"/>
  <c r="T232" i="49"/>
  <c r="S232" i="49"/>
  <c r="Q232" i="49"/>
  <c r="O232" i="49"/>
  <c r="M232" i="49"/>
  <c r="K232" i="49"/>
  <c r="X231" i="49"/>
  <c r="W231" i="49"/>
  <c r="V231" i="49"/>
  <c r="U231" i="49"/>
  <c r="T231" i="49"/>
  <c r="S231" i="49"/>
  <c r="Q231" i="49"/>
  <c r="O231" i="49"/>
  <c r="M231" i="49"/>
  <c r="K231" i="49"/>
  <c r="X230" i="49"/>
  <c r="W230" i="49"/>
  <c r="V230" i="49"/>
  <c r="U230" i="49"/>
  <c r="T230" i="49"/>
  <c r="S230" i="49"/>
  <c r="Q230" i="49"/>
  <c r="O230" i="49"/>
  <c r="M230" i="49"/>
  <c r="K230" i="49"/>
  <c r="X229" i="49"/>
  <c r="W229" i="49"/>
  <c r="V229" i="49"/>
  <c r="U229" i="49"/>
  <c r="T229" i="49"/>
  <c r="S229" i="49"/>
  <c r="Q229" i="49"/>
  <c r="O229" i="49"/>
  <c r="M229" i="49"/>
  <c r="K229" i="49"/>
  <c r="X228" i="49"/>
  <c r="W228" i="49"/>
  <c r="V228" i="49"/>
  <c r="U228" i="49"/>
  <c r="T228" i="49"/>
  <c r="S228" i="49"/>
  <c r="Q228" i="49"/>
  <c r="O228" i="49"/>
  <c r="M228" i="49"/>
  <c r="K228" i="49"/>
  <c r="X227" i="49"/>
  <c r="W227" i="49"/>
  <c r="V227" i="49"/>
  <c r="U227" i="49"/>
  <c r="T227" i="49"/>
  <c r="S227" i="49"/>
  <c r="Q227" i="49"/>
  <c r="O227" i="49"/>
  <c r="M227" i="49"/>
  <c r="K227" i="49"/>
  <c r="X226" i="49"/>
  <c r="W226" i="49"/>
  <c r="V226" i="49"/>
  <c r="U226" i="49"/>
  <c r="T226" i="49"/>
  <c r="S226" i="49"/>
  <c r="Q226" i="49"/>
  <c r="O226" i="49"/>
  <c r="M226" i="49"/>
  <c r="K226" i="49"/>
  <c r="X225" i="49"/>
  <c r="W225" i="49"/>
  <c r="V225" i="49"/>
  <c r="U225" i="49"/>
  <c r="T225" i="49"/>
  <c r="S225" i="49"/>
  <c r="Q225" i="49"/>
  <c r="O225" i="49"/>
  <c r="M225" i="49"/>
  <c r="K225" i="49"/>
  <c r="X224" i="49"/>
  <c r="W224" i="49"/>
  <c r="V224" i="49"/>
  <c r="U224" i="49"/>
  <c r="T224" i="49"/>
  <c r="S224" i="49"/>
  <c r="Q224" i="49"/>
  <c r="O224" i="49"/>
  <c r="M224" i="49"/>
  <c r="K224" i="49"/>
  <c r="X223" i="49"/>
  <c r="W223" i="49"/>
  <c r="V223" i="49"/>
  <c r="U223" i="49"/>
  <c r="T223" i="49"/>
  <c r="S223" i="49"/>
  <c r="Q223" i="49"/>
  <c r="O223" i="49"/>
  <c r="M223" i="49"/>
  <c r="K223" i="49"/>
  <c r="X222" i="49"/>
  <c r="W222" i="49"/>
  <c r="V222" i="49"/>
  <c r="U222" i="49"/>
  <c r="T222" i="49"/>
  <c r="S222" i="49"/>
  <c r="Q222" i="49"/>
  <c r="O222" i="49"/>
  <c r="M222" i="49"/>
  <c r="K222" i="49"/>
  <c r="X221" i="49"/>
  <c r="W221" i="49"/>
  <c r="V221" i="49"/>
  <c r="U221" i="49"/>
  <c r="T221" i="49"/>
  <c r="S221" i="49"/>
  <c r="Q221" i="49"/>
  <c r="O221" i="49"/>
  <c r="M221" i="49"/>
  <c r="K221" i="49"/>
  <c r="X220" i="49"/>
  <c r="W220" i="49"/>
  <c r="V220" i="49"/>
  <c r="U220" i="49"/>
  <c r="T220" i="49"/>
  <c r="S220" i="49"/>
  <c r="Q220" i="49"/>
  <c r="O220" i="49"/>
  <c r="M220" i="49"/>
  <c r="K220" i="49"/>
  <c r="X219" i="49"/>
  <c r="W219" i="49"/>
  <c r="V219" i="49"/>
  <c r="U219" i="49"/>
  <c r="T219" i="49"/>
  <c r="S219" i="49"/>
  <c r="Q219" i="49"/>
  <c r="O219" i="49"/>
  <c r="M219" i="49"/>
  <c r="K219" i="49"/>
  <c r="X218" i="49"/>
  <c r="W218" i="49"/>
  <c r="V218" i="49"/>
  <c r="U218" i="49"/>
  <c r="T218" i="49"/>
  <c r="S218" i="49"/>
  <c r="Q218" i="49"/>
  <c r="O218" i="49"/>
  <c r="M218" i="49"/>
  <c r="K218" i="49"/>
  <c r="X217" i="49"/>
  <c r="W217" i="49"/>
  <c r="V217" i="49"/>
  <c r="U217" i="49"/>
  <c r="T217" i="49"/>
  <c r="S217" i="49"/>
  <c r="Q217" i="49"/>
  <c r="O217" i="49"/>
  <c r="M217" i="49"/>
  <c r="K217" i="49"/>
  <c r="X216" i="49"/>
  <c r="W216" i="49"/>
  <c r="V216" i="49"/>
  <c r="U216" i="49"/>
  <c r="T216" i="49"/>
  <c r="S216" i="49"/>
  <c r="Q216" i="49"/>
  <c r="O216" i="49"/>
  <c r="M216" i="49"/>
  <c r="K216" i="49"/>
  <c r="X215" i="49"/>
  <c r="W215" i="49"/>
  <c r="V215" i="49"/>
  <c r="U215" i="49"/>
  <c r="T215" i="49"/>
  <c r="S215" i="49"/>
  <c r="Q215" i="49"/>
  <c r="O215" i="49"/>
  <c r="M215" i="49"/>
  <c r="K215" i="49"/>
  <c r="X214" i="49"/>
  <c r="W214" i="49"/>
  <c r="V214" i="49"/>
  <c r="U214" i="49"/>
  <c r="T214" i="49"/>
  <c r="S214" i="49"/>
  <c r="Q214" i="49"/>
  <c r="O214" i="49"/>
  <c r="M214" i="49"/>
  <c r="K214" i="49"/>
  <c r="X213" i="49"/>
  <c r="W213" i="49"/>
  <c r="V213" i="49"/>
  <c r="U213" i="49"/>
  <c r="T213" i="49"/>
  <c r="S213" i="49"/>
  <c r="Q213" i="49"/>
  <c r="O213" i="49"/>
  <c r="M213" i="49"/>
  <c r="K213" i="49"/>
  <c r="X212" i="49"/>
  <c r="W212" i="49"/>
  <c r="V212" i="49"/>
  <c r="U212" i="49"/>
  <c r="T212" i="49"/>
  <c r="S212" i="49"/>
  <c r="Q212" i="49"/>
  <c r="O212" i="49"/>
  <c r="M212" i="49"/>
  <c r="K212" i="49"/>
  <c r="X211" i="49"/>
  <c r="W211" i="49"/>
  <c r="V211" i="49"/>
  <c r="U211" i="49"/>
  <c r="T211" i="49"/>
  <c r="S211" i="49"/>
  <c r="Q211" i="49"/>
  <c r="O211" i="49"/>
  <c r="M211" i="49"/>
  <c r="K211" i="49"/>
  <c r="X210" i="49"/>
  <c r="W210" i="49"/>
  <c r="V210" i="49"/>
  <c r="U210" i="49"/>
  <c r="T210" i="49"/>
  <c r="S210" i="49"/>
  <c r="Q210" i="49"/>
  <c r="O210" i="49"/>
  <c r="M210" i="49"/>
  <c r="K210" i="49"/>
  <c r="X209" i="49"/>
  <c r="W209" i="49"/>
  <c r="V209" i="49"/>
  <c r="U209" i="49"/>
  <c r="T209" i="49"/>
  <c r="S209" i="49"/>
  <c r="Q209" i="49"/>
  <c r="O209" i="49"/>
  <c r="M209" i="49"/>
  <c r="K209" i="49"/>
  <c r="X208" i="49"/>
  <c r="W208" i="49"/>
  <c r="V208" i="49"/>
  <c r="U208" i="49"/>
  <c r="T208" i="49"/>
  <c r="S208" i="49"/>
  <c r="Q208" i="49"/>
  <c r="O208" i="49"/>
  <c r="M208" i="49"/>
  <c r="K208" i="49"/>
  <c r="X207" i="49"/>
  <c r="W207" i="49"/>
  <c r="V207" i="49"/>
  <c r="U207" i="49"/>
  <c r="T207" i="49"/>
  <c r="S207" i="49"/>
  <c r="Q207" i="49"/>
  <c r="O207" i="49"/>
  <c r="M207" i="49"/>
  <c r="K207" i="49"/>
  <c r="X206" i="49"/>
  <c r="W206" i="49"/>
  <c r="V206" i="49"/>
  <c r="U206" i="49"/>
  <c r="T206" i="49"/>
  <c r="S206" i="49"/>
  <c r="Q206" i="49"/>
  <c r="O206" i="49"/>
  <c r="M206" i="49"/>
  <c r="K206" i="49"/>
  <c r="X205" i="49"/>
  <c r="W205" i="49"/>
  <c r="V205" i="49"/>
  <c r="U205" i="49"/>
  <c r="T205" i="49"/>
  <c r="S205" i="49"/>
  <c r="Q205" i="49"/>
  <c r="O205" i="49"/>
  <c r="M205" i="49"/>
  <c r="K205" i="49"/>
  <c r="X204" i="49"/>
  <c r="W204" i="49"/>
  <c r="V204" i="49"/>
  <c r="U204" i="49"/>
  <c r="T204" i="49"/>
  <c r="S204" i="49"/>
  <c r="Q204" i="49"/>
  <c r="O204" i="49"/>
  <c r="M204" i="49"/>
  <c r="K204" i="49"/>
  <c r="X203" i="49"/>
  <c r="W203" i="49"/>
  <c r="V203" i="49"/>
  <c r="U203" i="49"/>
  <c r="T203" i="49"/>
  <c r="S203" i="49"/>
  <c r="Q203" i="49"/>
  <c r="O203" i="49"/>
  <c r="M203" i="49"/>
  <c r="K203" i="49"/>
  <c r="X202" i="49"/>
  <c r="W202" i="49"/>
  <c r="V202" i="49"/>
  <c r="U202" i="49"/>
  <c r="T202" i="49"/>
  <c r="S202" i="49"/>
  <c r="Q202" i="49"/>
  <c r="O202" i="49"/>
  <c r="M202" i="49"/>
  <c r="K202" i="49"/>
  <c r="X201" i="49"/>
  <c r="W201" i="49"/>
  <c r="V201" i="49"/>
  <c r="U201" i="49"/>
  <c r="T201" i="49"/>
  <c r="S201" i="49"/>
  <c r="Q201" i="49"/>
  <c r="O201" i="49"/>
  <c r="M201" i="49"/>
  <c r="K201" i="49"/>
  <c r="X200" i="49"/>
  <c r="W200" i="49"/>
  <c r="V200" i="49"/>
  <c r="U200" i="49"/>
  <c r="T200" i="49"/>
  <c r="S200" i="49"/>
  <c r="Q200" i="49"/>
  <c r="O200" i="49"/>
  <c r="M200" i="49"/>
  <c r="K200" i="49"/>
  <c r="X199" i="49"/>
  <c r="W199" i="49"/>
  <c r="V199" i="49"/>
  <c r="U199" i="49"/>
  <c r="T199" i="49"/>
  <c r="S199" i="49"/>
  <c r="Q199" i="49"/>
  <c r="O199" i="49"/>
  <c r="M199" i="49"/>
  <c r="K199" i="49"/>
  <c r="X198" i="49"/>
  <c r="W198" i="49"/>
  <c r="V198" i="49"/>
  <c r="U198" i="49"/>
  <c r="T198" i="49"/>
  <c r="S198" i="49"/>
  <c r="Q198" i="49"/>
  <c r="O198" i="49"/>
  <c r="M198" i="49"/>
  <c r="K198" i="49"/>
  <c r="X197" i="49"/>
  <c r="W197" i="49"/>
  <c r="V197" i="49"/>
  <c r="U197" i="49"/>
  <c r="T197" i="49"/>
  <c r="S197" i="49"/>
  <c r="Q197" i="49"/>
  <c r="O197" i="49"/>
  <c r="M197" i="49"/>
  <c r="K197" i="49"/>
  <c r="X196" i="49"/>
  <c r="W196" i="49"/>
  <c r="V196" i="49"/>
  <c r="U196" i="49"/>
  <c r="T196" i="49"/>
  <c r="S196" i="49"/>
  <c r="Q196" i="49"/>
  <c r="O196" i="49"/>
  <c r="M196" i="49"/>
  <c r="K196" i="49"/>
  <c r="X195" i="49"/>
  <c r="W195" i="49"/>
  <c r="V195" i="49"/>
  <c r="U195" i="49"/>
  <c r="T195" i="49"/>
  <c r="S195" i="49"/>
  <c r="Q195" i="49"/>
  <c r="O195" i="49"/>
  <c r="M195" i="49"/>
  <c r="K195" i="49"/>
  <c r="X194" i="49"/>
  <c r="W194" i="49"/>
  <c r="V194" i="49"/>
  <c r="U194" i="49"/>
  <c r="T194" i="49"/>
  <c r="S194" i="49"/>
  <c r="Q194" i="49"/>
  <c r="O194" i="49"/>
  <c r="M194" i="49"/>
  <c r="K194" i="49"/>
  <c r="X193" i="49"/>
  <c r="W193" i="49"/>
  <c r="V193" i="49"/>
  <c r="U193" i="49"/>
  <c r="T193" i="49"/>
  <c r="S193" i="49"/>
  <c r="Q193" i="49"/>
  <c r="O193" i="49"/>
  <c r="M193" i="49"/>
  <c r="K193" i="49"/>
  <c r="X192" i="49"/>
  <c r="W192" i="49"/>
  <c r="V192" i="49"/>
  <c r="U192" i="49"/>
  <c r="T192" i="49"/>
  <c r="S192" i="49"/>
  <c r="Q192" i="49"/>
  <c r="O192" i="49"/>
  <c r="M192" i="49"/>
  <c r="K192" i="49"/>
  <c r="X191" i="49"/>
  <c r="W191" i="49"/>
  <c r="V191" i="49"/>
  <c r="U191" i="49"/>
  <c r="T191" i="49"/>
  <c r="S191" i="49"/>
  <c r="Q191" i="49"/>
  <c r="O191" i="49"/>
  <c r="M191" i="49"/>
  <c r="K191" i="49"/>
  <c r="X190" i="49"/>
  <c r="W190" i="49"/>
  <c r="V190" i="49"/>
  <c r="U190" i="49"/>
  <c r="T190" i="49"/>
  <c r="S190" i="49"/>
  <c r="Q190" i="49"/>
  <c r="O190" i="49"/>
  <c r="M190" i="49"/>
  <c r="K190" i="49"/>
  <c r="X189" i="49"/>
  <c r="W189" i="49"/>
  <c r="V189" i="49"/>
  <c r="U189" i="49"/>
  <c r="T189" i="49"/>
  <c r="S189" i="49"/>
  <c r="Q189" i="49"/>
  <c r="O189" i="49"/>
  <c r="M189" i="49"/>
  <c r="K189" i="49"/>
  <c r="X188" i="49"/>
  <c r="W188" i="49"/>
  <c r="V188" i="49"/>
  <c r="U188" i="49"/>
  <c r="T188" i="49"/>
  <c r="S188" i="49"/>
  <c r="Q188" i="49"/>
  <c r="O188" i="49"/>
  <c r="M188" i="49"/>
  <c r="K188" i="49"/>
  <c r="X187" i="49"/>
  <c r="W187" i="49"/>
  <c r="V187" i="49"/>
  <c r="U187" i="49"/>
  <c r="T187" i="49"/>
  <c r="S187" i="49"/>
  <c r="Q187" i="49"/>
  <c r="O187" i="49"/>
  <c r="M187" i="49"/>
  <c r="K187" i="49"/>
  <c r="X186" i="49"/>
  <c r="W186" i="49"/>
  <c r="V186" i="49"/>
  <c r="U186" i="49"/>
  <c r="T186" i="49"/>
  <c r="S186" i="49"/>
  <c r="Q186" i="49"/>
  <c r="O186" i="49"/>
  <c r="M186" i="49"/>
  <c r="K186" i="49"/>
  <c r="X185" i="49"/>
  <c r="W185" i="49"/>
  <c r="V185" i="49"/>
  <c r="U185" i="49"/>
  <c r="T185" i="49"/>
  <c r="S185" i="49"/>
  <c r="Q185" i="49"/>
  <c r="O185" i="49"/>
  <c r="M185" i="49"/>
  <c r="K185" i="49"/>
  <c r="X184" i="49"/>
  <c r="W184" i="49"/>
  <c r="V184" i="49"/>
  <c r="U184" i="49"/>
  <c r="T184" i="49"/>
  <c r="S184" i="49"/>
  <c r="Q184" i="49"/>
  <c r="O184" i="49"/>
  <c r="M184" i="49"/>
  <c r="K184" i="49"/>
  <c r="X183" i="49"/>
  <c r="W183" i="49"/>
  <c r="V183" i="49"/>
  <c r="U183" i="49"/>
  <c r="T183" i="49"/>
  <c r="S183" i="49"/>
  <c r="Q183" i="49"/>
  <c r="O183" i="49"/>
  <c r="M183" i="49"/>
  <c r="K183" i="49"/>
  <c r="X182" i="49"/>
  <c r="W182" i="49"/>
  <c r="V182" i="49"/>
  <c r="U182" i="49"/>
  <c r="T182" i="49"/>
  <c r="S182" i="49"/>
  <c r="Q182" i="49"/>
  <c r="O182" i="49"/>
  <c r="M182" i="49"/>
  <c r="K182" i="49"/>
  <c r="X181" i="49"/>
  <c r="W181" i="49"/>
  <c r="V181" i="49"/>
  <c r="U181" i="49"/>
  <c r="T181" i="49"/>
  <c r="S181" i="49"/>
  <c r="Q181" i="49"/>
  <c r="O181" i="49"/>
  <c r="M181" i="49"/>
  <c r="K181" i="49"/>
  <c r="X180" i="49"/>
  <c r="W180" i="49"/>
  <c r="V180" i="49"/>
  <c r="U180" i="49"/>
  <c r="T180" i="49"/>
  <c r="S180" i="49"/>
  <c r="Q180" i="49"/>
  <c r="O180" i="49"/>
  <c r="M180" i="49"/>
  <c r="K180" i="49"/>
  <c r="X179" i="49"/>
  <c r="W179" i="49"/>
  <c r="V179" i="49"/>
  <c r="U179" i="49"/>
  <c r="T179" i="49"/>
  <c r="S179" i="49"/>
  <c r="Q179" i="49"/>
  <c r="O179" i="49"/>
  <c r="M179" i="49"/>
  <c r="K179" i="49"/>
  <c r="X178" i="49"/>
  <c r="W178" i="49"/>
  <c r="V178" i="49"/>
  <c r="U178" i="49"/>
  <c r="T178" i="49"/>
  <c r="S178" i="49"/>
  <c r="Q178" i="49"/>
  <c r="O178" i="49"/>
  <c r="M178" i="49"/>
  <c r="K178" i="49"/>
  <c r="X177" i="49"/>
  <c r="W177" i="49"/>
  <c r="V177" i="49"/>
  <c r="U177" i="49"/>
  <c r="T177" i="49"/>
  <c r="S177" i="49"/>
  <c r="Q177" i="49"/>
  <c r="O177" i="49"/>
  <c r="M177" i="49"/>
  <c r="K177" i="49"/>
  <c r="X176" i="49"/>
  <c r="W176" i="49"/>
  <c r="V176" i="49"/>
  <c r="U176" i="49"/>
  <c r="T176" i="49"/>
  <c r="S176" i="49"/>
  <c r="Q176" i="49"/>
  <c r="O176" i="49"/>
  <c r="M176" i="49"/>
  <c r="K176" i="49"/>
  <c r="X175" i="49"/>
  <c r="W175" i="49"/>
  <c r="V175" i="49"/>
  <c r="U175" i="49"/>
  <c r="T175" i="49"/>
  <c r="S175" i="49"/>
  <c r="Q175" i="49"/>
  <c r="O175" i="49"/>
  <c r="M175" i="49"/>
  <c r="K175" i="49"/>
  <c r="X174" i="49"/>
  <c r="W174" i="49"/>
  <c r="V174" i="49"/>
  <c r="U174" i="49"/>
  <c r="T174" i="49"/>
  <c r="S174" i="49"/>
  <c r="Q174" i="49"/>
  <c r="O174" i="49"/>
  <c r="M174" i="49"/>
  <c r="K174" i="49"/>
  <c r="X173" i="49"/>
  <c r="W173" i="49"/>
  <c r="V173" i="49"/>
  <c r="U173" i="49"/>
  <c r="T173" i="49"/>
  <c r="S173" i="49"/>
  <c r="Q173" i="49"/>
  <c r="O173" i="49"/>
  <c r="M173" i="49"/>
  <c r="K173" i="49"/>
  <c r="X172" i="49"/>
  <c r="W172" i="49"/>
  <c r="V172" i="49"/>
  <c r="U172" i="49"/>
  <c r="T172" i="49"/>
  <c r="S172" i="49"/>
  <c r="Q172" i="49"/>
  <c r="O172" i="49"/>
  <c r="M172" i="49"/>
  <c r="K172" i="49"/>
  <c r="X171" i="49"/>
  <c r="W171" i="49"/>
  <c r="V171" i="49"/>
  <c r="U171" i="49"/>
  <c r="T171" i="49"/>
  <c r="S171" i="49"/>
  <c r="Q171" i="49"/>
  <c r="O171" i="49"/>
  <c r="M171" i="49"/>
  <c r="K171" i="49"/>
  <c r="X170" i="49"/>
  <c r="W170" i="49"/>
  <c r="V170" i="49"/>
  <c r="U170" i="49"/>
  <c r="T170" i="49"/>
  <c r="S170" i="49"/>
  <c r="Q170" i="49"/>
  <c r="O170" i="49"/>
  <c r="M170" i="49"/>
  <c r="K170" i="49"/>
  <c r="X169" i="49"/>
  <c r="W169" i="49"/>
  <c r="V169" i="49"/>
  <c r="U169" i="49"/>
  <c r="T169" i="49"/>
  <c r="S169" i="49"/>
  <c r="Q169" i="49"/>
  <c r="O169" i="49"/>
  <c r="M169" i="49"/>
  <c r="K169" i="49"/>
  <c r="X168" i="49"/>
  <c r="W168" i="49"/>
  <c r="V168" i="49"/>
  <c r="U168" i="49"/>
  <c r="T168" i="49"/>
  <c r="S168" i="49"/>
  <c r="Q168" i="49"/>
  <c r="O168" i="49"/>
  <c r="M168" i="49"/>
  <c r="K168" i="49"/>
  <c r="X167" i="49"/>
  <c r="W167" i="49"/>
  <c r="V167" i="49"/>
  <c r="U167" i="49"/>
  <c r="T167" i="49"/>
  <c r="S167" i="49"/>
  <c r="Q167" i="49"/>
  <c r="O167" i="49"/>
  <c r="M167" i="49"/>
  <c r="K167" i="49"/>
  <c r="X166" i="49"/>
  <c r="W166" i="49"/>
  <c r="V166" i="49"/>
  <c r="U166" i="49"/>
  <c r="T166" i="49"/>
  <c r="S166" i="49"/>
  <c r="Q166" i="49"/>
  <c r="O166" i="49"/>
  <c r="M166" i="49"/>
  <c r="K166" i="49"/>
  <c r="X165" i="49"/>
  <c r="W165" i="49"/>
  <c r="V165" i="49"/>
  <c r="U165" i="49"/>
  <c r="T165" i="49"/>
  <c r="S165" i="49"/>
  <c r="Q165" i="49"/>
  <c r="O165" i="49"/>
  <c r="M165" i="49"/>
  <c r="K165" i="49"/>
  <c r="X164" i="49"/>
  <c r="W164" i="49"/>
  <c r="V164" i="49"/>
  <c r="U164" i="49"/>
  <c r="T164" i="49"/>
  <c r="S164" i="49"/>
  <c r="Q164" i="49"/>
  <c r="O164" i="49"/>
  <c r="M164" i="49"/>
  <c r="K164" i="49"/>
  <c r="X163" i="49"/>
  <c r="W163" i="49"/>
  <c r="V163" i="49"/>
  <c r="U163" i="49"/>
  <c r="T163" i="49"/>
  <c r="S163" i="49"/>
  <c r="Q163" i="49"/>
  <c r="O163" i="49"/>
  <c r="M163" i="49"/>
  <c r="K163" i="49"/>
  <c r="X162" i="49"/>
  <c r="W162" i="49"/>
  <c r="V162" i="49"/>
  <c r="U162" i="49"/>
  <c r="T162" i="49"/>
  <c r="S162" i="49"/>
  <c r="Q162" i="49"/>
  <c r="O162" i="49"/>
  <c r="M162" i="49"/>
  <c r="K162" i="49"/>
  <c r="X161" i="49"/>
  <c r="W161" i="49"/>
  <c r="V161" i="49"/>
  <c r="U161" i="49"/>
  <c r="T161" i="49"/>
  <c r="S161" i="49"/>
  <c r="Q161" i="49"/>
  <c r="O161" i="49"/>
  <c r="M161" i="49"/>
  <c r="K161" i="49"/>
  <c r="X160" i="49"/>
  <c r="W160" i="49"/>
  <c r="V160" i="49"/>
  <c r="U160" i="49"/>
  <c r="T160" i="49"/>
  <c r="S160" i="49"/>
  <c r="Q160" i="49"/>
  <c r="O160" i="49"/>
  <c r="M160" i="49"/>
  <c r="K160" i="49"/>
  <c r="X159" i="49"/>
  <c r="W159" i="49"/>
  <c r="V159" i="49"/>
  <c r="U159" i="49"/>
  <c r="T159" i="49"/>
  <c r="S159" i="49"/>
  <c r="Q159" i="49"/>
  <c r="O159" i="49"/>
  <c r="M159" i="49"/>
  <c r="K159" i="49"/>
  <c r="X158" i="49"/>
  <c r="W158" i="49"/>
  <c r="V158" i="49"/>
  <c r="U158" i="49"/>
  <c r="T158" i="49"/>
  <c r="S158" i="49"/>
  <c r="Q158" i="49"/>
  <c r="O158" i="49"/>
  <c r="M158" i="49"/>
  <c r="K158" i="49"/>
  <c r="X157" i="49"/>
  <c r="W157" i="49"/>
  <c r="V157" i="49"/>
  <c r="U157" i="49"/>
  <c r="T157" i="49"/>
  <c r="S157" i="49"/>
  <c r="Q157" i="49"/>
  <c r="O157" i="49"/>
  <c r="M157" i="49"/>
  <c r="K157" i="49"/>
  <c r="X156" i="49"/>
  <c r="W156" i="49"/>
  <c r="V156" i="49"/>
  <c r="U156" i="49"/>
  <c r="T156" i="49"/>
  <c r="S156" i="49"/>
  <c r="Q156" i="49"/>
  <c r="O156" i="49"/>
  <c r="M156" i="49"/>
  <c r="K156" i="49"/>
  <c r="X155" i="49"/>
  <c r="W155" i="49"/>
  <c r="V155" i="49"/>
  <c r="U155" i="49"/>
  <c r="T155" i="49"/>
  <c r="S155" i="49"/>
  <c r="Q155" i="49"/>
  <c r="O155" i="49"/>
  <c r="M155" i="49"/>
  <c r="K155" i="49"/>
  <c r="X154" i="49"/>
  <c r="W154" i="49"/>
  <c r="V154" i="49"/>
  <c r="U154" i="49"/>
  <c r="T154" i="49"/>
  <c r="S154" i="49"/>
  <c r="Q154" i="49"/>
  <c r="O154" i="49"/>
  <c r="M154" i="49"/>
  <c r="K154" i="49"/>
  <c r="X153" i="49"/>
  <c r="W153" i="49"/>
  <c r="V153" i="49"/>
  <c r="U153" i="49"/>
  <c r="T153" i="49"/>
  <c r="S153" i="49"/>
  <c r="Q153" i="49"/>
  <c r="O153" i="49"/>
  <c r="M153" i="49"/>
  <c r="K153" i="49"/>
  <c r="X152" i="49"/>
  <c r="W152" i="49"/>
  <c r="V152" i="49"/>
  <c r="U152" i="49"/>
  <c r="T152" i="49"/>
  <c r="S152" i="49"/>
  <c r="Q152" i="49"/>
  <c r="O152" i="49"/>
  <c r="M152" i="49"/>
  <c r="K152" i="49"/>
  <c r="X151" i="49"/>
  <c r="W151" i="49"/>
  <c r="V151" i="49"/>
  <c r="U151" i="49"/>
  <c r="T151" i="49"/>
  <c r="S151" i="49"/>
  <c r="Q151" i="49"/>
  <c r="O151" i="49"/>
  <c r="M151" i="49"/>
  <c r="K151" i="49"/>
  <c r="X150" i="49"/>
  <c r="W150" i="49"/>
  <c r="V150" i="49"/>
  <c r="U150" i="49"/>
  <c r="T150" i="49"/>
  <c r="S150" i="49"/>
  <c r="Q150" i="49"/>
  <c r="O150" i="49"/>
  <c r="M150" i="49"/>
  <c r="K150" i="49"/>
  <c r="X149" i="49"/>
  <c r="W149" i="49"/>
  <c r="V149" i="49"/>
  <c r="U149" i="49"/>
  <c r="T149" i="49"/>
  <c r="S149" i="49"/>
  <c r="Q149" i="49"/>
  <c r="O149" i="49"/>
  <c r="M149" i="49"/>
  <c r="K149" i="49"/>
  <c r="X148" i="49"/>
  <c r="W148" i="49"/>
  <c r="V148" i="49"/>
  <c r="U148" i="49"/>
  <c r="T148" i="49"/>
  <c r="S148" i="49"/>
  <c r="Q148" i="49"/>
  <c r="O148" i="49"/>
  <c r="M148" i="49"/>
  <c r="K148" i="49"/>
  <c r="X147" i="49"/>
  <c r="W147" i="49"/>
  <c r="V147" i="49"/>
  <c r="U147" i="49"/>
  <c r="T147" i="49"/>
  <c r="S147" i="49"/>
  <c r="Q147" i="49"/>
  <c r="O147" i="49"/>
  <c r="M147" i="49"/>
  <c r="K147" i="49"/>
  <c r="X146" i="49"/>
  <c r="W146" i="49"/>
  <c r="V146" i="49"/>
  <c r="U146" i="49"/>
  <c r="T146" i="49"/>
  <c r="S146" i="49"/>
  <c r="Q146" i="49"/>
  <c r="O146" i="49"/>
  <c r="M146" i="49"/>
  <c r="K146" i="49"/>
  <c r="X145" i="49"/>
  <c r="W145" i="49"/>
  <c r="V145" i="49"/>
  <c r="U145" i="49"/>
  <c r="T145" i="49"/>
  <c r="S145" i="49"/>
  <c r="Q145" i="49"/>
  <c r="O145" i="49"/>
  <c r="M145" i="49"/>
  <c r="K145" i="49"/>
  <c r="X144" i="49"/>
  <c r="W144" i="49"/>
  <c r="V144" i="49"/>
  <c r="U144" i="49"/>
  <c r="T144" i="49"/>
  <c r="S144" i="49"/>
  <c r="Q144" i="49"/>
  <c r="O144" i="49"/>
  <c r="M144" i="49"/>
  <c r="K144" i="49"/>
  <c r="X143" i="49"/>
  <c r="W143" i="49"/>
  <c r="V143" i="49"/>
  <c r="U143" i="49"/>
  <c r="T143" i="49"/>
  <c r="S143" i="49"/>
  <c r="Q143" i="49"/>
  <c r="O143" i="49"/>
  <c r="M143" i="49"/>
  <c r="K143" i="49"/>
  <c r="X142" i="49"/>
  <c r="W142" i="49"/>
  <c r="V142" i="49"/>
  <c r="U142" i="49"/>
  <c r="T142" i="49"/>
  <c r="S142" i="49"/>
  <c r="Q142" i="49"/>
  <c r="O142" i="49"/>
  <c r="M142" i="49"/>
  <c r="K142" i="49"/>
  <c r="X141" i="49"/>
  <c r="W141" i="49"/>
  <c r="V141" i="49"/>
  <c r="U141" i="49"/>
  <c r="T141" i="49"/>
  <c r="S141" i="49"/>
  <c r="Q141" i="49"/>
  <c r="O141" i="49"/>
  <c r="M141" i="49"/>
  <c r="K141" i="49"/>
  <c r="X140" i="49"/>
  <c r="W140" i="49"/>
  <c r="V140" i="49"/>
  <c r="U140" i="49"/>
  <c r="T140" i="49"/>
  <c r="S140" i="49"/>
  <c r="Q140" i="49"/>
  <c r="O140" i="49"/>
  <c r="M140" i="49"/>
  <c r="K140" i="49"/>
  <c r="X139" i="49"/>
  <c r="W139" i="49"/>
  <c r="V139" i="49"/>
  <c r="U139" i="49"/>
  <c r="T139" i="49"/>
  <c r="S139" i="49"/>
  <c r="Q139" i="49"/>
  <c r="O139" i="49"/>
  <c r="M139" i="49"/>
  <c r="K139" i="49"/>
  <c r="X138" i="49"/>
  <c r="W138" i="49"/>
  <c r="V138" i="49"/>
  <c r="U138" i="49"/>
  <c r="T138" i="49"/>
  <c r="S138" i="49"/>
  <c r="Q138" i="49"/>
  <c r="O138" i="49"/>
  <c r="M138" i="49"/>
  <c r="K138" i="49"/>
  <c r="X137" i="49"/>
  <c r="W137" i="49"/>
  <c r="V137" i="49"/>
  <c r="U137" i="49"/>
  <c r="T137" i="49"/>
  <c r="S137" i="49"/>
  <c r="Q137" i="49"/>
  <c r="O137" i="49"/>
  <c r="M137" i="49"/>
  <c r="K137" i="49"/>
  <c r="X136" i="49"/>
  <c r="W136" i="49"/>
  <c r="V136" i="49"/>
  <c r="U136" i="49"/>
  <c r="T136" i="49"/>
  <c r="S136" i="49"/>
  <c r="Q136" i="49"/>
  <c r="O136" i="49"/>
  <c r="M136" i="49"/>
  <c r="K136" i="49"/>
  <c r="X135" i="49"/>
  <c r="W135" i="49"/>
  <c r="V135" i="49"/>
  <c r="U135" i="49"/>
  <c r="T135" i="49"/>
  <c r="S135" i="49"/>
  <c r="Q135" i="49"/>
  <c r="O135" i="49"/>
  <c r="M135" i="49"/>
  <c r="K135" i="49"/>
  <c r="X134" i="49"/>
  <c r="W134" i="49"/>
  <c r="V134" i="49"/>
  <c r="U134" i="49"/>
  <c r="T134" i="49"/>
  <c r="S134" i="49"/>
  <c r="Q134" i="49"/>
  <c r="O134" i="49"/>
  <c r="M134" i="49"/>
  <c r="K134" i="49"/>
  <c r="X133" i="49"/>
  <c r="W133" i="49"/>
  <c r="V133" i="49"/>
  <c r="U133" i="49"/>
  <c r="T133" i="49"/>
  <c r="S133" i="49"/>
  <c r="Q133" i="49"/>
  <c r="O133" i="49"/>
  <c r="M133" i="49"/>
  <c r="K133" i="49"/>
  <c r="X132" i="49"/>
  <c r="W132" i="49"/>
  <c r="V132" i="49"/>
  <c r="U132" i="49"/>
  <c r="T132" i="49"/>
  <c r="S132" i="49"/>
  <c r="Q132" i="49"/>
  <c r="O132" i="49"/>
  <c r="M132" i="49"/>
  <c r="K132" i="49"/>
  <c r="X131" i="49"/>
  <c r="W131" i="49"/>
  <c r="V131" i="49"/>
  <c r="U131" i="49"/>
  <c r="T131" i="49"/>
  <c r="S131" i="49"/>
  <c r="Q131" i="49"/>
  <c r="O131" i="49"/>
  <c r="M131" i="49"/>
  <c r="K131" i="49"/>
  <c r="X130" i="49"/>
  <c r="W130" i="49"/>
  <c r="V130" i="49"/>
  <c r="U130" i="49"/>
  <c r="T130" i="49"/>
  <c r="S130" i="49"/>
  <c r="Q130" i="49"/>
  <c r="O130" i="49"/>
  <c r="M130" i="49"/>
  <c r="K130" i="49"/>
  <c r="X129" i="49"/>
  <c r="W129" i="49"/>
  <c r="V129" i="49"/>
  <c r="U129" i="49"/>
  <c r="T129" i="49"/>
  <c r="S129" i="49"/>
  <c r="Q129" i="49"/>
  <c r="O129" i="49"/>
  <c r="M129" i="49"/>
  <c r="K129" i="49"/>
  <c r="X128" i="49"/>
  <c r="W128" i="49"/>
  <c r="V128" i="49"/>
  <c r="U128" i="49"/>
  <c r="T128" i="49"/>
  <c r="S128" i="49"/>
  <c r="Q128" i="49"/>
  <c r="O128" i="49"/>
  <c r="M128" i="49"/>
  <c r="K128" i="49"/>
  <c r="X127" i="49"/>
  <c r="W127" i="49"/>
  <c r="V127" i="49"/>
  <c r="U127" i="49"/>
  <c r="T127" i="49"/>
  <c r="S127" i="49"/>
  <c r="Q127" i="49"/>
  <c r="O127" i="49"/>
  <c r="M127" i="49"/>
  <c r="K127" i="49"/>
  <c r="X126" i="49"/>
  <c r="W126" i="49"/>
  <c r="V126" i="49"/>
  <c r="U126" i="49"/>
  <c r="T126" i="49"/>
  <c r="S126" i="49"/>
  <c r="Q126" i="49"/>
  <c r="O126" i="49"/>
  <c r="M126" i="49"/>
  <c r="K126" i="49"/>
  <c r="X125" i="49"/>
  <c r="W125" i="49"/>
  <c r="V125" i="49"/>
  <c r="U125" i="49"/>
  <c r="T125" i="49"/>
  <c r="S125" i="49"/>
  <c r="Q125" i="49"/>
  <c r="O125" i="49"/>
  <c r="M125" i="49"/>
  <c r="K125" i="49"/>
  <c r="X124" i="49"/>
  <c r="W124" i="49"/>
  <c r="V124" i="49"/>
  <c r="U124" i="49"/>
  <c r="T124" i="49"/>
  <c r="S124" i="49"/>
  <c r="Q124" i="49"/>
  <c r="O124" i="49"/>
  <c r="M124" i="49"/>
  <c r="K124" i="49"/>
  <c r="X123" i="49"/>
  <c r="W123" i="49"/>
  <c r="V123" i="49"/>
  <c r="U123" i="49"/>
  <c r="T123" i="49"/>
  <c r="S123" i="49"/>
  <c r="Q123" i="49"/>
  <c r="O123" i="49"/>
  <c r="M123" i="49"/>
  <c r="K123" i="49"/>
  <c r="X122" i="49"/>
  <c r="W122" i="49"/>
  <c r="V122" i="49"/>
  <c r="U122" i="49"/>
  <c r="T122" i="49"/>
  <c r="S122" i="49"/>
  <c r="Q122" i="49"/>
  <c r="O122" i="49"/>
  <c r="M122" i="49"/>
  <c r="K122" i="49"/>
  <c r="X121" i="49"/>
  <c r="W121" i="49"/>
  <c r="V121" i="49"/>
  <c r="U121" i="49"/>
  <c r="T121" i="49"/>
  <c r="S121" i="49"/>
  <c r="Q121" i="49"/>
  <c r="O121" i="49"/>
  <c r="M121" i="49"/>
  <c r="K121" i="49"/>
  <c r="X120" i="49"/>
  <c r="W120" i="49"/>
  <c r="V120" i="49"/>
  <c r="U120" i="49"/>
  <c r="T120" i="49"/>
  <c r="S120" i="49"/>
  <c r="Q120" i="49"/>
  <c r="O120" i="49"/>
  <c r="M120" i="49"/>
  <c r="K120" i="49"/>
  <c r="X119" i="49"/>
  <c r="W119" i="49"/>
  <c r="V119" i="49"/>
  <c r="U119" i="49"/>
  <c r="T119" i="49"/>
  <c r="S119" i="49"/>
  <c r="Q119" i="49"/>
  <c r="O119" i="49"/>
  <c r="M119" i="49"/>
  <c r="K119" i="49"/>
  <c r="X118" i="49"/>
  <c r="W118" i="49"/>
  <c r="V118" i="49"/>
  <c r="U118" i="49"/>
  <c r="T118" i="49"/>
  <c r="S118" i="49"/>
  <c r="Q118" i="49"/>
  <c r="O118" i="49"/>
  <c r="M118" i="49"/>
  <c r="K118" i="49"/>
  <c r="X117" i="49"/>
  <c r="W117" i="49"/>
  <c r="V117" i="49"/>
  <c r="U117" i="49"/>
  <c r="T117" i="49"/>
  <c r="S117" i="49"/>
  <c r="Q117" i="49"/>
  <c r="O117" i="49"/>
  <c r="M117" i="49"/>
  <c r="K117" i="49"/>
  <c r="X116" i="49"/>
  <c r="W116" i="49"/>
  <c r="V116" i="49"/>
  <c r="U116" i="49"/>
  <c r="T116" i="49"/>
  <c r="S116" i="49"/>
  <c r="Q116" i="49"/>
  <c r="O116" i="49"/>
  <c r="M116" i="49"/>
  <c r="K116" i="49"/>
  <c r="X115" i="49"/>
  <c r="W115" i="49"/>
  <c r="V115" i="49"/>
  <c r="U115" i="49"/>
  <c r="T115" i="49"/>
  <c r="S115" i="49"/>
  <c r="Q115" i="49"/>
  <c r="O115" i="49"/>
  <c r="M115" i="49"/>
  <c r="K115" i="49"/>
  <c r="X114" i="49"/>
  <c r="W114" i="49"/>
  <c r="V114" i="49"/>
  <c r="U114" i="49"/>
  <c r="T114" i="49"/>
  <c r="S114" i="49"/>
  <c r="Q114" i="49"/>
  <c r="O114" i="49"/>
  <c r="M114" i="49"/>
  <c r="K114" i="49"/>
  <c r="X113" i="49"/>
  <c r="W113" i="49"/>
  <c r="V113" i="49"/>
  <c r="U113" i="49"/>
  <c r="T113" i="49"/>
  <c r="S113" i="49"/>
  <c r="Q113" i="49"/>
  <c r="O113" i="49"/>
  <c r="M113" i="49"/>
  <c r="K113" i="49"/>
  <c r="X112" i="49"/>
  <c r="W112" i="49"/>
  <c r="V112" i="49"/>
  <c r="U112" i="49"/>
  <c r="T112" i="49"/>
  <c r="S112" i="49"/>
  <c r="Q112" i="49"/>
  <c r="O112" i="49"/>
  <c r="M112" i="49"/>
  <c r="K112" i="49"/>
  <c r="X111" i="49"/>
  <c r="W111" i="49"/>
  <c r="V111" i="49"/>
  <c r="U111" i="49"/>
  <c r="T111" i="49"/>
  <c r="S111" i="49"/>
  <c r="Q111" i="49"/>
  <c r="O111" i="49"/>
  <c r="M111" i="49"/>
  <c r="K111" i="49"/>
  <c r="X110" i="49"/>
  <c r="W110" i="49"/>
  <c r="V110" i="49"/>
  <c r="U110" i="49"/>
  <c r="T110" i="49"/>
  <c r="S110" i="49"/>
  <c r="Q110" i="49"/>
  <c r="O110" i="49"/>
  <c r="M110" i="49"/>
  <c r="K110" i="49"/>
  <c r="X109" i="49"/>
  <c r="W109" i="49"/>
  <c r="V109" i="49"/>
  <c r="U109" i="49"/>
  <c r="T109" i="49"/>
  <c r="S109" i="49"/>
  <c r="Q109" i="49"/>
  <c r="O109" i="49"/>
  <c r="M109" i="49"/>
  <c r="K109" i="49"/>
  <c r="X108" i="49"/>
  <c r="W108" i="49"/>
  <c r="V108" i="49"/>
  <c r="U108" i="49"/>
  <c r="T108" i="49"/>
  <c r="S108" i="49"/>
  <c r="Q108" i="49"/>
  <c r="O108" i="49"/>
  <c r="M108" i="49"/>
  <c r="K108" i="49"/>
  <c r="X107" i="49"/>
  <c r="W107" i="49"/>
  <c r="V107" i="49"/>
  <c r="U107" i="49"/>
  <c r="T107" i="49"/>
  <c r="S107" i="49"/>
  <c r="Q107" i="49"/>
  <c r="O107" i="49"/>
  <c r="M107" i="49"/>
  <c r="K107" i="49"/>
  <c r="X106" i="49"/>
  <c r="W106" i="49"/>
  <c r="V106" i="49"/>
  <c r="U106" i="49"/>
  <c r="T106" i="49"/>
  <c r="S106" i="49"/>
  <c r="Q106" i="49"/>
  <c r="O106" i="49"/>
  <c r="M106" i="49"/>
  <c r="K106" i="49"/>
  <c r="X105" i="49"/>
  <c r="W105" i="49"/>
  <c r="V105" i="49"/>
  <c r="U105" i="49"/>
  <c r="T105" i="49"/>
  <c r="S105" i="49"/>
  <c r="Q105" i="49"/>
  <c r="O105" i="49"/>
  <c r="M105" i="49"/>
  <c r="K105" i="49"/>
  <c r="X104" i="49"/>
  <c r="W104" i="49"/>
  <c r="V104" i="49"/>
  <c r="U104" i="49"/>
  <c r="T104" i="49"/>
  <c r="S104" i="49"/>
  <c r="Q104" i="49"/>
  <c r="O104" i="49"/>
  <c r="M104" i="49"/>
  <c r="K104" i="49"/>
  <c r="X103" i="49"/>
  <c r="W103" i="49"/>
  <c r="V103" i="49"/>
  <c r="U103" i="49"/>
  <c r="T103" i="49"/>
  <c r="S103" i="49"/>
  <c r="Q103" i="49"/>
  <c r="O103" i="49"/>
  <c r="M103" i="49"/>
  <c r="K103" i="49"/>
  <c r="X102" i="49"/>
  <c r="W102" i="49"/>
  <c r="V102" i="49"/>
  <c r="U102" i="49"/>
  <c r="T102" i="49"/>
  <c r="S102" i="49"/>
  <c r="Q102" i="49"/>
  <c r="O102" i="49"/>
  <c r="M102" i="49"/>
  <c r="K102" i="49"/>
  <c r="X101" i="49"/>
  <c r="W101" i="49"/>
  <c r="V101" i="49"/>
  <c r="U101" i="49"/>
  <c r="T101" i="49"/>
  <c r="S101" i="49"/>
  <c r="Q101" i="49"/>
  <c r="O101" i="49"/>
  <c r="M101" i="49"/>
  <c r="K101" i="49"/>
  <c r="X100" i="49"/>
  <c r="W100" i="49"/>
  <c r="V100" i="49"/>
  <c r="U100" i="49"/>
  <c r="T100" i="49"/>
  <c r="S100" i="49"/>
  <c r="Q100" i="49"/>
  <c r="O100" i="49"/>
  <c r="M100" i="49"/>
  <c r="K100" i="49"/>
  <c r="X99" i="49"/>
  <c r="W99" i="49"/>
  <c r="V99" i="49"/>
  <c r="U99" i="49"/>
  <c r="T99" i="49"/>
  <c r="S99" i="49"/>
  <c r="Q99" i="49"/>
  <c r="O99" i="49"/>
  <c r="M99" i="49"/>
  <c r="K99" i="49"/>
  <c r="X98" i="49"/>
  <c r="W98" i="49"/>
  <c r="V98" i="49"/>
  <c r="U98" i="49"/>
  <c r="T98" i="49"/>
  <c r="S98" i="49"/>
  <c r="Q98" i="49"/>
  <c r="O98" i="49"/>
  <c r="M98" i="49"/>
  <c r="K98" i="49"/>
  <c r="X97" i="49"/>
  <c r="W97" i="49"/>
  <c r="V97" i="49"/>
  <c r="U97" i="49"/>
  <c r="T97" i="49"/>
  <c r="S97" i="49"/>
  <c r="Q97" i="49"/>
  <c r="O97" i="49"/>
  <c r="M97" i="49"/>
  <c r="K97" i="49"/>
  <c r="X96" i="49"/>
  <c r="W96" i="49"/>
  <c r="V96" i="49"/>
  <c r="U96" i="49"/>
  <c r="T96" i="49"/>
  <c r="S96" i="49"/>
  <c r="Q96" i="49"/>
  <c r="O96" i="49"/>
  <c r="M96" i="49"/>
  <c r="K96" i="49"/>
  <c r="X95" i="49"/>
  <c r="W95" i="49"/>
  <c r="V95" i="49"/>
  <c r="U95" i="49"/>
  <c r="T95" i="49"/>
  <c r="S95" i="49"/>
  <c r="Q95" i="49"/>
  <c r="O95" i="49"/>
  <c r="M95" i="49"/>
  <c r="K95" i="49"/>
  <c r="X94" i="49"/>
  <c r="W94" i="49"/>
  <c r="V94" i="49"/>
  <c r="U94" i="49"/>
  <c r="T94" i="49"/>
  <c r="S94" i="49"/>
  <c r="Q94" i="49"/>
  <c r="O94" i="49"/>
  <c r="M94" i="49"/>
  <c r="K94" i="49"/>
  <c r="X93" i="49"/>
  <c r="W93" i="49"/>
  <c r="V93" i="49"/>
  <c r="U93" i="49"/>
  <c r="T93" i="49"/>
  <c r="S93" i="49"/>
  <c r="Q93" i="49"/>
  <c r="O93" i="49"/>
  <c r="M93" i="49"/>
  <c r="K93" i="49"/>
  <c r="X92" i="49"/>
  <c r="W92" i="49"/>
  <c r="V92" i="49"/>
  <c r="U92" i="49"/>
  <c r="T92" i="49"/>
  <c r="S92" i="49"/>
  <c r="Q92" i="49"/>
  <c r="O92" i="49"/>
  <c r="M92" i="49"/>
  <c r="K92" i="49"/>
  <c r="X91" i="49"/>
  <c r="W91" i="49"/>
  <c r="V91" i="49"/>
  <c r="U91" i="49"/>
  <c r="T91" i="49"/>
  <c r="S91" i="49"/>
  <c r="Q91" i="49"/>
  <c r="O91" i="49"/>
  <c r="M91" i="49"/>
  <c r="K91" i="49"/>
  <c r="X90" i="49"/>
  <c r="W90" i="49"/>
  <c r="V90" i="49"/>
  <c r="U90" i="49"/>
  <c r="T90" i="49"/>
  <c r="S90" i="49"/>
  <c r="Q90" i="49"/>
  <c r="O90" i="49"/>
  <c r="M90" i="49"/>
  <c r="K90" i="49"/>
  <c r="X89" i="49"/>
  <c r="W89" i="49"/>
  <c r="V89" i="49"/>
  <c r="U89" i="49"/>
  <c r="T89" i="49"/>
  <c r="S89" i="49"/>
  <c r="Q89" i="49"/>
  <c r="O89" i="49"/>
  <c r="M89" i="49"/>
  <c r="K89" i="49"/>
  <c r="X88" i="49"/>
  <c r="W88" i="49"/>
  <c r="V88" i="49"/>
  <c r="U88" i="49"/>
  <c r="T88" i="49"/>
  <c r="S88" i="49"/>
  <c r="Q88" i="49"/>
  <c r="O88" i="49"/>
  <c r="M88" i="49"/>
  <c r="K88" i="49"/>
  <c r="X87" i="49"/>
  <c r="W87" i="49"/>
  <c r="V87" i="49"/>
  <c r="U87" i="49"/>
  <c r="T87" i="49"/>
  <c r="S87" i="49"/>
  <c r="Q87" i="49"/>
  <c r="O87" i="49"/>
  <c r="M87" i="49"/>
  <c r="K87" i="49"/>
  <c r="X86" i="49"/>
  <c r="W86" i="49"/>
  <c r="V86" i="49"/>
  <c r="U86" i="49"/>
  <c r="T86" i="49"/>
  <c r="S86" i="49"/>
  <c r="Q86" i="49"/>
  <c r="O86" i="49"/>
  <c r="M86" i="49"/>
  <c r="K86" i="49"/>
  <c r="X85" i="49"/>
  <c r="W85" i="49"/>
  <c r="V85" i="49"/>
  <c r="U85" i="49"/>
  <c r="T85" i="49"/>
  <c r="S85" i="49"/>
  <c r="Q85" i="49"/>
  <c r="O85" i="49"/>
  <c r="M85" i="49"/>
  <c r="K85" i="49"/>
  <c r="X84" i="49"/>
  <c r="W84" i="49"/>
  <c r="V84" i="49"/>
  <c r="U84" i="49"/>
  <c r="T84" i="49"/>
  <c r="S84" i="49"/>
  <c r="Q84" i="49"/>
  <c r="O84" i="49"/>
  <c r="M84" i="49"/>
  <c r="K84" i="49"/>
  <c r="X83" i="49"/>
  <c r="W83" i="49"/>
  <c r="V83" i="49"/>
  <c r="U83" i="49"/>
  <c r="T83" i="49"/>
  <c r="S83" i="49"/>
  <c r="Q83" i="49"/>
  <c r="O83" i="49"/>
  <c r="M83" i="49"/>
  <c r="K83" i="49"/>
  <c r="X82" i="49"/>
  <c r="W82" i="49"/>
  <c r="V82" i="49"/>
  <c r="U82" i="49"/>
  <c r="T82" i="49"/>
  <c r="S82" i="49"/>
  <c r="Q82" i="49"/>
  <c r="O82" i="49"/>
  <c r="M82" i="49"/>
  <c r="K82" i="49"/>
  <c r="X81" i="49"/>
  <c r="W81" i="49"/>
  <c r="V81" i="49"/>
  <c r="U81" i="49"/>
  <c r="T81" i="49"/>
  <c r="S81" i="49"/>
  <c r="Q81" i="49"/>
  <c r="O81" i="49"/>
  <c r="M81" i="49"/>
  <c r="K81" i="49"/>
  <c r="X80" i="49"/>
  <c r="W80" i="49"/>
  <c r="V80" i="49"/>
  <c r="U80" i="49"/>
  <c r="T80" i="49"/>
  <c r="S80" i="49"/>
  <c r="Q80" i="49"/>
  <c r="O80" i="49"/>
  <c r="M80" i="49"/>
  <c r="K80" i="49"/>
  <c r="X79" i="49"/>
  <c r="W79" i="49"/>
  <c r="V79" i="49"/>
  <c r="U79" i="49"/>
  <c r="T79" i="49"/>
  <c r="S79" i="49"/>
  <c r="Q79" i="49"/>
  <c r="O79" i="49"/>
  <c r="M79" i="49"/>
  <c r="K79" i="49"/>
  <c r="X78" i="49"/>
  <c r="W78" i="49"/>
  <c r="V78" i="49"/>
  <c r="U78" i="49"/>
  <c r="T78" i="49"/>
  <c r="S78" i="49"/>
  <c r="Q78" i="49"/>
  <c r="O78" i="49"/>
  <c r="M78" i="49"/>
  <c r="K78" i="49"/>
  <c r="X77" i="49"/>
  <c r="W77" i="49"/>
  <c r="V77" i="49"/>
  <c r="U77" i="49"/>
  <c r="T77" i="49"/>
  <c r="S77" i="49"/>
  <c r="Q77" i="49"/>
  <c r="O77" i="49"/>
  <c r="M77" i="49"/>
  <c r="K77" i="49"/>
  <c r="X76" i="49"/>
  <c r="W76" i="49"/>
  <c r="V76" i="49"/>
  <c r="U76" i="49"/>
  <c r="T76" i="49"/>
  <c r="S76" i="49"/>
  <c r="Q76" i="49"/>
  <c r="O76" i="49"/>
  <c r="M76" i="49"/>
  <c r="K76" i="49"/>
  <c r="X75" i="49"/>
  <c r="W75" i="49"/>
  <c r="V75" i="49"/>
  <c r="U75" i="49"/>
  <c r="T75" i="49"/>
  <c r="S75" i="49"/>
  <c r="Q75" i="49"/>
  <c r="O75" i="49"/>
  <c r="M75" i="49"/>
  <c r="K75" i="49"/>
  <c r="X74" i="49"/>
  <c r="W74" i="49"/>
  <c r="V74" i="49"/>
  <c r="U74" i="49"/>
  <c r="T74" i="49"/>
  <c r="S74" i="49"/>
  <c r="Q74" i="49"/>
  <c r="O74" i="49"/>
  <c r="M74" i="49"/>
  <c r="K74" i="49"/>
  <c r="X73" i="49"/>
  <c r="W73" i="49"/>
  <c r="V73" i="49"/>
  <c r="U73" i="49"/>
  <c r="T73" i="49"/>
  <c r="S73" i="49"/>
  <c r="Q73" i="49"/>
  <c r="O73" i="49"/>
  <c r="M73" i="49"/>
  <c r="K73" i="49"/>
  <c r="X72" i="49"/>
  <c r="W72" i="49"/>
  <c r="V72" i="49"/>
  <c r="U72" i="49"/>
  <c r="T72" i="49"/>
  <c r="S72" i="49"/>
  <c r="Q72" i="49"/>
  <c r="O72" i="49"/>
  <c r="M72" i="49"/>
  <c r="K72" i="49"/>
  <c r="X71" i="49"/>
  <c r="W71" i="49"/>
  <c r="V71" i="49"/>
  <c r="U71" i="49"/>
  <c r="T71" i="49"/>
  <c r="S71" i="49"/>
  <c r="Q71" i="49"/>
  <c r="O71" i="49"/>
  <c r="M71" i="49"/>
  <c r="K71" i="49"/>
  <c r="X70" i="49"/>
  <c r="W70" i="49"/>
  <c r="V70" i="49"/>
  <c r="U70" i="49"/>
  <c r="T70" i="49"/>
  <c r="S70" i="49"/>
  <c r="Q70" i="49"/>
  <c r="O70" i="49"/>
  <c r="M70" i="49"/>
  <c r="K70" i="49"/>
  <c r="X69" i="49"/>
  <c r="W69" i="49"/>
  <c r="V69" i="49"/>
  <c r="U69" i="49"/>
  <c r="T69" i="49"/>
  <c r="S69" i="49"/>
  <c r="Q69" i="49"/>
  <c r="O69" i="49"/>
  <c r="M69" i="49"/>
  <c r="K69" i="49"/>
  <c r="X68" i="49"/>
  <c r="W68" i="49"/>
  <c r="V68" i="49"/>
  <c r="U68" i="49"/>
  <c r="T68" i="49"/>
  <c r="S68" i="49"/>
  <c r="Q68" i="49"/>
  <c r="O68" i="49"/>
  <c r="M68" i="49"/>
  <c r="K68" i="49"/>
  <c r="X67" i="49"/>
  <c r="W67" i="49"/>
  <c r="V67" i="49"/>
  <c r="U67" i="49"/>
  <c r="T67" i="49"/>
  <c r="S67" i="49"/>
  <c r="Q67" i="49"/>
  <c r="O67" i="49"/>
  <c r="M67" i="49"/>
  <c r="K67" i="49"/>
  <c r="X66" i="49"/>
  <c r="W66" i="49"/>
  <c r="V66" i="49"/>
  <c r="U66" i="49"/>
  <c r="T66" i="49"/>
  <c r="S66" i="49"/>
  <c r="Q66" i="49"/>
  <c r="O66" i="49"/>
  <c r="M66" i="49"/>
  <c r="K66" i="49"/>
  <c r="X65" i="49"/>
  <c r="W65" i="49"/>
  <c r="V65" i="49"/>
  <c r="U65" i="49"/>
  <c r="T65" i="49"/>
  <c r="S65" i="49"/>
  <c r="Q65" i="49"/>
  <c r="O65" i="49"/>
  <c r="M65" i="49"/>
  <c r="K65" i="49"/>
  <c r="X64" i="49"/>
  <c r="W64" i="49"/>
  <c r="V64" i="49"/>
  <c r="U64" i="49"/>
  <c r="T64" i="49"/>
  <c r="S64" i="49"/>
  <c r="Q64" i="49"/>
  <c r="O64" i="49"/>
  <c r="M64" i="49"/>
  <c r="K64" i="49"/>
  <c r="X63" i="49"/>
  <c r="W63" i="49"/>
  <c r="V63" i="49"/>
  <c r="U63" i="49"/>
  <c r="T63" i="49"/>
  <c r="S63" i="49"/>
  <c r="Q63" i="49"/>
  <c r="O63" i="49"/>
  <c r="M63" i="49"/>
  <c r="K63" i="49"/>
  <c r="X62" i="49"/>
  <c r="W62" i="49"/>
  <c r="V62" i="49"/>
  <c r="U62" i="49"/>
  <c r="T62" i="49"/>
  <c r="S62" i="49"/>
  <c r="Q62" i="49"/>
  <c r="O62" i="49"/>
  <c r="M62" i="49"/>
  <c r="K62" i="49"/>
  <c r="X61" i="49"/>
  <c r="W61" i="49"/>
  <c r="V61" i="49"/>
  <c r="U61" i="49"/>
  <c r="T61" i="49"/>
  <c r="S61" i="49"/>
  <c r="Q61" i="49"/>
  <c r="O61" i="49"/>
  <c r="M61" i="49"/>
  <c r="K61" i="49"/>
  <c r="X60" i="49"/>
  <c r="W60" i="49"/>
  <c r="V60" i="49"/>
  <c r="U60" i="49"/>
  <c r="T60" i="49"/>
  <c r="S60" i="49"/>
  <c r="Q60" i="49"/>
  <c r="O60" i="49"/>
  <c r="M60" i="49"/>
  <c r="K60" i="49"/>
  <c r="X59" i="49"/>
  <c r="W59" i="49"/>
  <c r="V59" i="49"/>
  <c r="U59" i="49"/>
  <c r="T59" i="49"/>
  <c r="S59" i="49"/>
  <c r="Q59" i="49"/>
  <c r="O59" i="49"/>
  <c r="M59" i="49"/>
  <c r="K59" i="49"/>
  <c r="X58" i="49"/>
  <c r="W58" i="49"/>
  <c r="V58" i="49"/>
  <c r="U58" i="49"/>
  <c r="T58" i="49"/>
  <c r="S58" i="49"/>
  <c r="Q58" i="49"/>
  <c r="O58" i="49"/>
  <c r="M58" i="49"/>
  <c r="K58" i="49"/>
  <c r="X57" i="49"/>
  <c r="W57" i="49"/>
  <c r="V57" i="49"/>
  <c r="U57" i="49"/>
  <c r="T57" i="49"/>
  <c r="S57" i="49"/>
  <c r="Q57" i="49"/>
  <c r="O57" i="49"/>
  <c r="M57" i="49"/>
  <c r="K57" i="49"/>
  <c r="X56" i="49"/>
  <c r="W56" i="49"/>
  <c r="V56" i="49"/>
  <c r="U56" i="49"/>
  <c r="T56" i="49"/>
  <c r="S56" i="49"/>
  <c r="Q56" i="49"/>
  <c r="O56" i="49"/>
  <c r="M56" i="49"/>
  <c r="K56" i="49"/>
  <c r="X55" i="49"/>
  <c r="W55" i="49"/>
  <c r="V55" i="49"/>
  <c r="U55" i="49"/>
  <c r="T55" i="49"/>
  <c r="S55" i="49"/>
  <c r="Q55" i="49"/>
  <c r="O55" i="49"/>
  <c r="M55" i="49"/>
  <c r="K55" i="49"/>
  <c r="X54" i="49"/>
  <c r="W54" i="49"/>
  <c r="V54" i="49"/>
  <c r="U54" i="49"/>
  <c r="T54" i="49"/>
  <c r="S54" i="49"/>
  <c r="Q54" i="49"/>
  <c r="O54" i="49"/>
  <c r="M54" i="49"/>
  <c r="K54" i="49"/>
  <c r="X53" i="49"/>
  <c r="W53" i="49"/>
  <c r="V53" i="49"/>
  <c r="U53" i="49"/>
  <c r="T53" i="49"/>
  <c r="S53" i="49"/>
  <c r="Q53" i="49"/>
  <c r="O53" i="49"/>
  <c r="M53" i="49"/>
  <c r="K53" i="49"/>
  <c r="X52" i="49"/>
  <c r="W52" i="49"/>
  <c r="V52" i="49"/>
  <c r="U52" i="49"/>
  <c r="T52" i="49"/>
  <c r="S52" i="49"/>
  <c r="Q52" i="49"/>
  <c r="O52" i="49"/>
  <c r="M52" i="49"/>
  <c r="K52" i="49"/>
  <c r="X51" i="49"/>
  <c r="W51" i="49"/>
  <c r="V51" i="49"/>
  <c r="U51" i="49"/>
  <c r="T51" i="49"/>
  <c r="S51" i="49"/>
  <c r="Q51" i="49"/>
  <c r="O51" i="49"/>
  <c r="M51" i="49"/>
  <c r="K51" i="49"/>
  <c r="X50" i="49"/>
  <c r="W50" i="49"/>
  <c r="V50" i="49"/>
  <c r="U50" i="49"/>
  <c r="T50" i="49"/>
  <c r="S50" i="49"/>
  <c r="Q50" i="49"/>
  <c r="O50" i="49"/>
  <c r="M50" i="49"/>
  <c r="K50" i="49"/>
  <c r="X49" i="49"/>
  <c r="W49" i="49"/>
  <c r="V49" i="49"/>
  <c r="U49" i="49"/>
  <c r="T49" i="49"/>
  <c r="S49" i="49"/>
  <c r="Q49" i="49"/>
  <c r="O49" i="49"/>
  <c r="M49" i="49"/>
  <c r="K49" i="49"/>
  <c r="X48" i="49"/>
  <c r="W48" i="49"/>
  <c r="V48" i="49"/>
  <c r="U48" i="49"/>
  <c r="T48" i="49"/>
  <c r="S48" i="49"/>
  <c r="Q48" i="49"/>
  <c r="O48" i="49"/>
  <c r="M48" i="49"/>
  <c r="K48" i="49"/>
  <c r="X47" i="49"/>
  <c r="W47" i="49"/>
  <c r="V47" i="49"/>
  <c r="U47" i="49"/>
  <c r="T47" i="49"/>
  <c r="S47" i="49"/>
  <c r="Q47" i="49"/>
  <c r="O47" i="49"/>
  <c r="M47" i="49"/>
  <c r="K47" i="49"/>
  <c r="X46" i="49"/>
  <c r="W46" i="49"/>
  <c r="V46" i="49"/>
  <c r="U46" i="49"/>
  <c r="T46" i="49"/>
  <c r="S46" i="49"/>
  <c r="Q46" i="49"/>
  <c r="O46" i="49"/>
  <c r="M46" i="49"/>
  <c r="K46" i="49"/>
  <c r="X45" i="49"/>
  <c r="W45" i="49"/>
  <c r="V45" i="49"/>
  <c r="U45" i="49"/>
  <c r="T45" i="49"/>
  <c r="S45" i="49"/>
  <c r="Q45" i="49"/>
  <c r="O45" i="49"/>
  <c r="M45" i="49"/>
  <c r="K45" i="49"/>
  <c r="X44" i="49"/>
  <c r="W44" i="49"/>
  <c r="V44" i="49"/>
  <c r="U44" i="49"/>
  <c r="T44" i="49"/>
  <c r="S44" i="49"/>
  <c r="Q44" i="49"/>
  <c r="O44" i="49"/>
  <c r="M44" i="49"/>
  <c r="K44" i="49"/>
  <c r="X43" i="49"/>
  <c r="W43" i="49"/>
  <c r="V43" i="49"/>
  <c r="U43" i="49"/>
  <c r="T43" i="49"/>
  <c r="S43" i="49"/>
  <c r="Q43" i="49"/>
  <c r="O43" i="49"/>
  <c r="M43" i="49"/>
  <c r="K43" i="49"/>
  <c r="X42" i="49"/>
  <c r="W42" i="49"/>
  <c r="V42" i="49"/>
  <c r="U42" i="49"/>
  <c r="T42" i="49"/>
  <c r="S42" i="49"/>
  <c r="Q42" i="49"/>
  <c r="O42" i="49"/>
  <c r="M42" i="49"/>
  <c r="K42" i="49"/>
  <c r="X41" i="49"/>
  <c r="W41" i="49"/>
  <c r="V41" i="49"/>
  <c r="U41" i="49"/>
  <c r="T41" i="49"/>
  <c r="S41" i="49"/>
  <c r="Q41" i="49"/>
  <c r="O41" i="49"/>
  <c r="M41" i="49"/>
  <c r="K41" i="49"/>
  <c r="X40" i="49"/>
  <c r="W40" i="49"/>
  <c r="V40" i="49"/>
  <c r="U40" i="49"/>
  <c r="T40" i="49"/>
  <c r="S40" i="49"/>
  <c r="Q40" i="49"/>
  <c r="O40" i="49"/>
  <c r="M40" i="49"/>
  <c r="K40" i="49"/>
  <c r="X39" i="49"/>
  <c r="W39" i="49"/>
  <c r="V39" i="49"/>
  <c r="U39" i="49"/>
  <c r="T39" i="49"/>
  <c r="S39" i="49"/>
  <c r="Q39" i="49"/>
  <c r="O39" i="49"/>
  <c r="M39" i="49"/>
  <c r="K39" i="49"/>
  <c r="X38" i="49"/>
  <c r="W38" i="49"/>
  <c r="V38" i="49"/>
  <c r="U38" i="49"/>
  <c r="T38" i="49"/>
  <c r="S38" i="49"/>
  <c r="Q38" i="49"/>
  <c r="O38" i="49"/>
  <c r="M38" i="49"/>
  <c r="K38" i="49"/>
  <c r="X37" i="49"/>
  <c r="W37" i="49"/>
  <c r="V37" i="49"/>
  <c r="U37" i="49"/>
  <c r="T37" i="49"/>
  <c r="S37" i="49"/>
  <c r="Q37" i="49"/>
  <c r="O37" i="49"/>
  <c r="M37" i="49"/>
  <c r="K37" i="49"/>
  <c r="X36" i="49"/>
  <c r="W36" i="49"/>
  <c r="V36" i="49"/>
  <c r="U36" i="49"/>
  <c r="T36" i="49"/>
  <c r="S36" i="49"/>
  <c r="Q36" i="49"/>
  <c r="O36" i="49"/>
  <c r="M36" i="49"/>
  <c r="K36" i="49"/>
  <c r="X35" i="49"/>
  <c r="W35" i="49"/>
  <c r="V35" i="49"/>
  <c r="U35" i="49"/>
  <c r="T35" i="49"/>
  <c r="S35" i="49"/>
  <c r="Q35" i="49"/>
  <c r="O35" i="49"/>
  <c r="M35" i="49"/>
  <c r="K35" i="49"/>
  <c r="X34" i="49"/>
  <c r="W34" i="49"/>
  <c r="V34" i="49"/>
  <c r="U34" i="49"/>
  <c r="T34" i="49"/>
  <c r="S34" i="49"/>
  <c r="Q34" i="49"/>
  <c r="O34" i="49"/>
  <c r="M34" i="49"/>
  <c r="K34" i="49"/>
  <c r="X33" i="49"/>
  <c r="W33" i="49"/>
  <c r="V33" i="49"/>
  <c r="U33" i="49"/>
  <c r="T33" i="49"/>
  <c r="S33" i="49"/>
  <c r="Q33" i="49"/>
  <c r="O33" i="49"/>
  <c r="M33" i="49"/>
  <c r="K33" i="49"/>
  <c r="X32" i="49"/>
  <c r="W32" i="49"/>
  <c r="V32" i="49"/>
  <c r="U32" i="49"/>
  <c r="T32" i="49"/>
  <c r="S32" i="49"/>
  <c r="Q32" i="49"/>
  <c r="O32" i="49"/>
  <c r="M32" i="49"/>
  <c r="K32" i="49"/>
  <c r="X31" i="49"/>
  <c r="W31" i="49"/>
  <c r="V31" i="49"/>
  <c r="U31" i="49"/>
  <c r="T31" i="49"/>
  <c r="S31" i="49"/>
  <c r="Q31" i="49"/>
  <c r="O31" i="49"/>
  <c r="M31" i="49"/>
  <c r="K31" i="49"/>
  <c r="X30" i="49"/>
  <c r="W30" i="49"/>
  <c r="V30" i="49"/>
  <c r="U30" i="49"/>
  <c r="T30" i="49"/>
  <c r="S30" i="49"/>
  <c r="Q30" i="49"/>
  <c r="O30" i="49"/>
  <c r="M30" i="49"/>
  <c r="K30" i="49"/>
  <c r="X29" i="49"/>
  <c r="W29" i="49"/>
  <c r="V29" i="49"/>
  <c r="U29" i="49"/>
  <c r="T29" i="49"/>
  <c r="S29" i="49"/>
  <c r="Q29" i="49"/>
  <c r="O29" i="49"/>
  <c r="M29" i="49"/>
  <c r="K29" i="49"/>
  <c r="X28" i="49"/>
  <c r="W28" i="49"/>
  <c r="V28" i="49"/>
  <c r="U28" i="49"/>
  <c r="T28" i="49"/>
  <c r="S28" i="49"/>
  <c r="Q28" i="49"/>
  <c r="O28" i="49"/>
  <c r="M28" i="49"/>
  <c r="K28" i="49"/>
  <c r="X27" i="49"/>
  <c r="W27" i="49"/>
  <c r="V27" i="49"/>
  <c r="U27" i="49"/>
  <c r="T27" i="49"/>
  <c r="S27" i="49"/>
  <c r="Q27" i="49"/>
  <c r="O27" i="49"/>
  <c r="M27" i="49"/>
  <c r="K27" i="49"/>
  <c r="X26" i="49"/>
  <c r="W26" i="49"/>
  <c r="V26" i="49"/>
  <c r="U26" i="49"/>
  <c r="T26" i="49"/>
  <c r="S26" i="49"/>
  <c r="Q26" i="49"/>
  <c r="O26" i="49"/>
  <c r="M26" i="49"/>
  <c r="K26" i="49"/>
  <c r="X25" i="49"/>
  <c r="W25" i="49"/>
  <c r="V25" i="49"/>
  <c r="U25" i="49"/>
  <c r="T25" i="49"/>
  <c r="S25" i="49"/>
  <c r="Q25" i="49"/>
  <c r="O25" i="49"/>
  <c r="M25" i="49"/>
  <c r="K25" i="49"/>
  <c r="X24" i="49"/>
  <c r="W24" i="49"/>
  <c r="V24" i="49"/>
  <c r="U24" i="49"/>
  <c r="T24" i="49"/>
  <c r="S24" i="49"/>
  <c r="Q24" i="49"/>
  <c r="O24" i="49"/>
  <c r="M24" i="49"/>
  <c r="K24" i="49"/>
  <c r="X23" i="49"/>
  <c r="W23" i="49"/>
  <c r="V23" i="49"/>
  <c r="U23" i="49"/>
  <c r="T23" i="49"/>
  <c r="S23" i="49"/>
  <c r="Q23" i="49"/>
  <c r="O23" i="49"/>
  <c r="M23" i="49"/>
  <c r="K23" i="49"/>
  <c r="X22" i="49"/>
  <c r="W22" i="49"/>
  <c r="V22" i="49"/>
  <c r="U22" i="49"/>
  <c r="T22" i="49"/>
  <c r="S22" i="49"/>
  <c r="Q22" i="49"/>
  <c r="O22" i="49"/>
  <c r="M22" i="49"/>
  <c r="K22" i="49"/>
  <c r="X21" i="49"/>
  <c r="W21" i="49"/>
  <c r="V21" i="49"/>
  <c r="U21" i="49"/>
  <c r="T21" i="49"/>
  <c r="S21" i="49"/>
  <c r="Q21" i="49"/>
  <c r="O21" i="49"/>
  <c r="M21" i="49"/>
  <c r="K21" i="49"/>
  <c r="X20" i="49"/>
  <c r="W20" i="49"/>
  <c r="V20" i="49"/>
  <c r="U20" i="49"/>
  <c r="T20" i="49"/>
  <c r="S20" i="49"/>
  <c r="Q20" i="49"/>
  <c r="O20" i="49"/>
  <c r="M20" i="49"/>
  <c r="K20" i="49"/>
  <c r="X19" i="49"/>
  <c r="W19" i="49"/>
  <c r="V19" i="49"/>
  <c r="U19" i="49"/>
  <c r="T19" i="49"/>
  <c r="S19" i="49"/>
  <c r="Q19" i="49"/>
  <c r="O19" i="49"/>
  <c r="M19" i="49"/>
  <c r="K19" i="49"/>
  <c r="X18" i="49"/>
  <c r="W18" i="49"/>
  <c r="V18" i="49"/>
  <c r="U18" i="49"/>
  <c r="T18" i="49"/>
  <c r="S18" i="49"/>
  <c r="Q18" i="49"/>
  <c r="O18" i="49"/>
  <c r="M18" i="49"/>
  <c r="K18" i="49"/>
  <c r="X17" i="49"/>
  <c r="W17" i="49"/>
  <c r="V17" i="49"/>
  <c r="U17" i="49"/>
  <c r="T17" i="49"/>
  <c r="S17" i="49"/>
  <c r="Q17" i="49"/>
  <c r="O17" i="49"/>
  <c r="M17" i="49"/>
  <c r="K17" i="49"/>
  <c r="X16" i="49"/>
  <c r="W16" i="49"/>
  <c r="V16" i="49"/>
  <c r="U16" i="49"/>
  <c r="T16" i="49"/>
  <c r="S16" i="49"/>
  <c r="Q16" i="49"/>
  <c r="O16" i="49"/>
  <c r="M16" i="49"/>
  <c r="K16" i="49"/>
  <c r="X15" i="49"/>
  <c r="W15" i="49"/>
  <c r="V15" i="49"/>
  <c r="U15" i="49"/>
  <c r="T15" i="49"/>
  <c r="S15" i="49"/>
  <c r="Q15" i="49"/>
  <c r="O15" i="49"/>
  <c r="M15" i="49"/>
  <c r="K15" i="49"/>
  <c r="X14" i="49"/>
  <c r="W14" i="49"/>
  <c r="V14" i="49"/>
  <c r="U14" i="49"/>
  <c r="T14" i="49"/>
  <c r="S14" i="49"/>
  <c r="Q14" i="49"/>
  <c r="O14" i="49"/>
  <c r="M14" i="49"/>
  <c r="K14" i="49"/>
  <c r="X13" i="49"/>
  <c r="W13" i="49"/>
  <c r="V13" i="49"/>
  <c r="U13" i="49"/>
  <c r="T13" i="49"/>
  <c r="S13" i="49"/>
  <c r="Q13" i="49"/>
  <c r="O13" i="49"/>
  <c r="M13" i="49"/>
  <c r="K13" i="49"/>
  <c r="X12" i="49"/>
  <c r="W12" i="49"/>
  <c r="V12" i="49"/>
  <c r="U12" i="49"/>
  <c r="T12" i="49"/>
  <c r="S12" i="49"/>
  <c r="Q12" i="49"/>
  <c r="O12" i="49"/>
  <c r="M12" i="49"/>
  <c r="K12" i="49"/>
  <c r="X11" i="49"/>
  <c r="W11" i="49"/>
  <c r="V11" i="49"/>
  <c r="U11" i="49"/>
  <c r="T11" i="49"/>
  <c r="S11" i="49"/>
  <c r="Q11" i="49"/>
  <c r="O11" i="49"/>
  <c r="M11" i="49"/>
  <c r="K11" i="49"/>
  <c r="X10" i="49"/>
  <c r="W10" i="49"/>
  <c r="V10" i="49"/>
  <c r="U10" i="49"/>
  <c r="T10" i="49"/>
  <c r="S10" i="49"/>
  <c r="Q10" i="49"/>
  <c r="O10" i="49"/>
  <c r="M10" i="49"/>
  <c r="K10" i="49"/>
  <c r="X9" i="49"/>
  <c r="W9" i="49"/>
  <c r="V9" i="49"/>
  <c r="U9" i="49"/>
  <c r="T9" i="49"/>
  <c r="S9" i="49"/>
  <c r="Q9" i="49"/>
  <c r="O9" i="49"/>
  <c r="M9" i="49"/>
  <c r="K9" i="49"/>
  <c r="X8" i="49"/>
  <c r="W8" i="49"/>
  <c r="V8" i="49"/>
  <c r="U8" i="49"/>
  <c r="T8" i="49"/>
  <c r="S8" i="49"/>
  <c r="Q8" i="49"/>
  <c r="O8" i="49"/>
  <c r="M8" i="49"/>
  <c r="K8" i="49"/>
  <c r="X7" i="49"/>
  <c r="W7" i="49"/>
  <c r="V7" i="49"/>
  <c r="U7" i="49"/>
  <c r="T7" i="49"/>
  <c r="S7" i="49"/>
  <c r="Q7" i="49"/>
  <c r="O7" i="49"/>
  <c r="M7" i="49"/>
  <c r="K7" i="49"/>
  <c r="X378" i="48"/>
  <c r="W378" i="48"/>
  <c r="V378" i="48"/>
  <c r="U378" i="48"/>
  <c r="T378" i="48"/>
  <c r="S378" i="48"/>
  <c r="Q378" i="48"/>
  <c r="O378" i="48"/>
  <c r="M378" i="48"/>
  <c r="K378" i="48"/>
  <c r="X377" i="48"/>
  <c r="W377" i="48"/>
  <c r="V377" i="48"/>
  <c r="U377" i="48"/>
  <c r="T377" i="48"/>
  <c r="S377" i="48"/>
  <c r="Q377" i="48"/>
  <c r="O377" i="48"/>
  <c r="M377" i="48"/>
  <c r="K377" i="48"/>
  <c r="X376" i="48"/>
  <c r="W376" i="48"/>
  <c r="V376" i="48"/>
  <c r="U376" i="48"/>
  <c r="T376" i="48"/>
  <c r="S376" i="48"/>
  <c r="Q376" i="48"/>
  <c r="O376" i="48"/>
  <c r="M376" i="48"/>
  <c r="K376" i="48"/>
  <c r="X375" i="48"/>
  <c r="W375" i="48"/>
  <c r="V375" i="48"/>
  <c r="U375" i="48"/>
  <c r="T375" i="48"/>
  <c r="S375" i="48"/>
  <c r="Q375" i="48"/>
  <c r="O375" i="48"/>
  <c r="M375" i="48"/>
  <c r="K375" i="48"/>
  <c r="X374" i="48"/>
  <c r="W374" i="48"/>
  <c r="V374" i="48"/>
  <c r="U374" i="48"/>
  <c r="T374" i="48"/>
  <c r="S374" i="48"/>
  <c r="Q374" i="48"/>
  <c r="O374" i="48"/>
  <c r="M374" i="48"/>
  <c r="K374" i="48"/>
  <c r="X373" i="48"/>
  <c r="W373" i="48"/>
  <c r="V373" i="48"/>
  <c r="U373" i="48"/>
  <c r="T373" i="48"/>
  <c r="S373" i="48"/>
  <c r="Q373" i="48"/>
  <c r="O373" i="48"/>
  <c r="M373" i="48"/>
  <c r="K373" i="48"/>
  <c r="X372" i="48"/>
  <c r="W372" i="48"/>
  <c r="V372" i="48"/>
  <c r="U372" i="48"/>
  <c r="T372" i="48"/>
  <c r="S372" i="48"/>
  <c r="Q372" i="48"/>
  <c r="O372" i="48"/>
  <c r="M372" i="48"/>
  <c r="K372" i="48"/>
  <c r="X371" i="48"/>
  <c r="W371" i="48"/>
  <c r="V371" i="48"/>
  <c r="U371" i="48"/>
  <c r="T371" i="48"/>
  <c r="S371" i="48"/>
  <c r="Q371" i="48"/>
  <c r="O371" i="48"/>
  <c r="M371" i="48"/>
  <c r="K371" i="48"/>
  <c r="X370" i="48"/>
  <c r="W370" i="48"/>
  <c r="V370" i="48"/>
  <c r="U370" i="48"/>
  <c r="T370" i="48"/>
  <c r="S370" i="48"/>
  <c r="Q370" i="48"/>
  <c r="O370" i="48"/>
  <c r="M370" i="48"/>
  <c r="K370" i="48"/>
  <c r="X369" i="48"/>
  <c r="W369" i="48"/>
  <c r="V369" i="48"/>
  <c r="U369" i="48"/>
  <c r="T369" i="48"/>
  <c r="S369" i="48"/>
  <c r="Q369" i="48"/>
  <c r="O369" i="48"/>
  <c r="M369" i="48"/>
  <c r="K369" i="48"/>
  <c r="X368" i="48"/>
  <c r="W368" i="48"/>
  <c r="V368" i="48"/>
  <c r="U368" i="48"/>
  <c r="T368" i="48"/>
  <c r="S368" i="48"/>
  <c r="Q368" i="48"/>
  <c r="O368" i="48"/>
  <c r="M368" i="48"/>
  <c r="K368" i="48"/>
  <c r="X367" i="48"/>
  <c r="W367" i="48"/>
  <c r="V367" i="48"/>
  <c r="U367" i="48"/>
  <c r="T367" i="48"/>
  <c r="S367" i="48"/>
  <c r="Q367" i="48"/>
  <c r="O367" i="48"/>
  <c r="M367" i="48"/>
  <c r="K367" i="48"/>
  <c r="X366" i="48"/>
  <c r="W366" i="48"/>
  <c r="V366" i="48"/>
  <c r="U366" i="48"/>
  <c r="T366" i="48"/>
  <c r="S366" i="48"/>
  <c r="Q366" i="48"/>
  <c r="O366" i="48"/>
  <c r="M366" i="48"/>
  <c r="K366" i="48"/>
  <c r="X365" i="48"/>
  <c r="W365" i="48"/>
  <c r="V365" i="48"/>
  <c r="U365" i="48"/>
  <c r="T365" i="48"/>
  <c r="S365" i="48"/>
  <c r="Q365" i="48"/>
  <c r="O365" i="48"/>
  <c r="M365" i="48"/>
  <c r="K365" i="48"/>
  <c r="X364" i="48"/>
  <c r="W364" i="48"/>
  <c r="V364" i="48"/>
  <c r="U364" i="48"/>
  <c r="T364" i="48"/>
  <c r="S364" i="48"/>
  <c r="Q364" i="48"/>
  <c r="O364" i="48"/>
  <c r="M364" i="48"/>
  <c r="K364" i="48"/>
  <c r="X363" i="48"/>
  <c r="W363" i="48"/>
  <c r="V363" i="48"/>
  <c r="U363" i="48"/>
  <c r="T363" i="48"/>
  <c r="S363" i="48"/>
  <c r="Q363" i="48"/>
  <c r="O363" i="48"/>
  <c r="M363" i="48"/>
  <c r="K363" i="48"/>
  <c r="X362" i="48"/>
  <c r="W362" i="48"/>
  <c r="V362" i="48"/>
  <c r="U362" i="48"/>
  <c r="T362" i="48"/>
  <c r="S362" i="48"/>
  <c r="Q362" i="48"/>
  <c r="O362" i="48"/>
  <c r="M362" i="48"/>
  <c r="K362" i="48"/>
  <c r="X361" i="48"/>
  <c r="W361" i="48"/>
  <c r="V361" i="48"/>
  <c r="U361" i="48"/>
  <c r="T361" i="48"/>
  <c r="S361" i="48"/>
  <c r="Q361" i="48"/>
  <c r="O361" i="48"/>
  <c r="M361" i="48"/>
  <c r="K361" i="48"/>
  <c r="X360" i="48"/>
  <c r="W360" i="48"/>
  <c r="V360" i="48"/>
  <c r="U360" i="48"/>
  <c r="T360" i="48"/>
  <c r="S360" i="48"/>
  <c r="Q360" i="48"/>
  <c r="O360" i="48"/>
  <c r="M360" i="48"/>
  <c r="K360" i="48"/>
  <c r="X359" i="48"/>
  <c r="W359" i="48"/>
  <c r="V359" i="48"/>
  <c r="U359" i="48"/>
  <c r="T359" i="48"/>
  <c r="S359" i="48"/>
  <c r="Q359" i="48"/>
  <c r="O359" i="48"/>
  <c r="M359" i="48"/>
  <c r="K359" i="48"/>
  <c r="X358" i="48"/>
  <c r="W358" i="48"/>
  <c r="V358" i="48"/>
  <c r="U358" i="48"/>
  <c r="T358" i="48"/>
  <c r="S358" i="48"/>
  <c r="Q358" i="48"/>
  <c r="O358" i="48"/>
  <c r="M358" i="48"/>
  <c r="K358" i="48"/>
  <c r="X357" i="48"/>
  <c r="W357" i="48"/>
  <c r="V357" i="48"/>
  <c r="U357" i="48"/>
  <c r="T357" i="48"/>
  <c r="S357" i="48"/>
  <c r="Q357" i="48"/>
  <c r="O357" i="48"/>
  <c r="M357" i="48"/>
  <c r="K357" i="48"/>
  <c r="X356" i="48"/>
  <c r="W356" i="48"/>
  <c r="V356" i="48"/>
  <c r="U356" i="48"/>
  <c r="T356" i="48"/>
  <c r="S356" i="48"/>
  <c r="Q356" i="48"/>
  <c r="O356" i="48"/>
  <c r="M356" i="48"/>
  <c r="K356" i="48"/>
  <c r="X355" i="48"/>
  <c r="W355" i="48"/>
  <c r="V355" i="48"/>
  <c r="U355" i="48"/>
  <c r="T355" i="48"/>
  <c r="S355" i="48"/>
  <c r="Q355" i="48"/>
  <c r="O355" i="48"/>
  <c r="M355" i="48"/>
  <c r="K355" i="48"/>
  <c r="X354" i="48"/>
  <c r="W354" i="48"/>
  <c r="V354" i="48"/>
  <c r="U354" i="48"/>
  <c r="T354" i="48"/>
  <c r="S354" i="48"/>
  <c r="Q354" i="48"/>
  <c r="O354" i="48"/>
  <c r="M354" i="48"/>
  <c r="K354" i="48"/>
  <c r="X353" i="48"/>
  <c r="W353" i="48"/>
  <c r="V353" i="48"/>
  <c r="U353" i="48"/>
  <c r="T353" i="48"/>
  <c r="S353" i="48"/>
  <c r="Q353" i="48"/>
  <c r="O353" i="48"/>
  <c r="M353" i="48"/>
  <c r="K353" i="48"/>
  <c r="X352" i="48"/>
  <c r="W352" i="48"/>
  <c r="V352" i="48"/>
  <c r="U352" i="48"/>
  <c r="T352" i="48"/>
  <c r="S352" i="48"/>
  <c r="Q352" i="48"/>
  <c r="O352" i="48"/>
  <c r="M352" i="48"/>
  <c r="K352" i="48"/>
  <c r="X351" i="48"/>
  <c r="W351" i="48"/>
  <c r="V351" i="48"/>
  <c r="U351" i="48"/>
  <c r="T351" i="48"/>
  <c r="S351" i="48"/>
  <c r="Q351" i="48"/>
  <c r="O351" i="48"/>
  <c r="M351" i="48"/>
  <c r="K351" i="48"/>
  <c r="X350" i="48"/>
  <c r="W350" i="48"/>
  <c r="V350" i="48"/>
  <c r="U350" i="48"/>
  <c r="T350" i="48"/>
  <c r="S350" i="48"/>
  <c r="Q350" i="48"/>
  <c r="O350" i="48"/>
  <c r="M350" i="48"/>
  <c r="K350" i="48"/>
  <c r="X349" i="48"/>
  <c r="W349" i="48"/>
  <c r="V349" i="48"/>
  <c r="U349" i="48"/>
  <c r="T349" i="48"/>
  <c r="S349" i="48"/>
  <c r="Q349" i="48"/>
  <c r="O349" i="48"/>
  <c r="M349" i="48"/>
  <c r="K349" i="48"/>
  <c r="X348" i="48"/>
  <c r="W348" i="48"/>
  <c r="V348" i="48"/>
  <c r="U348" i="48"/>
  <c r="T348" i="48"/>
  <c r="S348" i="48"/>
  <c r="Q348" i="48"/>
  <c r="O348" i="48"/>
  <c r="M348" i="48"/>
  <c r="K348" i="48"/>
  <c r="X347" i="48"/>
  <c r="W347" i="48"/>
  <c r="V347" i="48"/>
  <c r="U347" i="48"/>
  <c r="T347" i="48"/>
  <c r="S347" i="48"/>
  <c r="Q347" i="48"/>
  <c r="O347" i="48"/>
  <c r="M347" i="48"/>
  <c r="K347" i="48"/>
  <c r="X346" i="48"/>
  <c r="W346" i="48"/>
  <c r="V346" i="48"/>
  <c r="U346" i="48"/>
  <c r="T346" i="48"/>
  <c r="S346" i="48"/>
  <c r="Q346" i="48"/>
  <c r="O346" i="48"/>
  <c r="M346" i="48"/>
  <c r="K346" i="48"/>
  <c r="X345" i="48"/>
  <c r="W345" i="48"/>
  <c r="V345" i="48"/>
  <c r="U345" i="48"/>
  <c r="T345" i="48"/>
  <c r="S345" i="48"/>
  <c r="Q345" i="48"/>
  <c r="O345" i="48"/>
  <c r="M345" i="48"/>
  <c r="K345" i="48"/>
  <c r="X344" i="48"/>
  <c r="W344" i="48"/>
  <c r="V344" i="48"/>
  <c r="U344" i="48"/>
  <c r="T344" i="48"/>
  <c r="S344" i="48"/>
  <c r="Q344" i="48"/>
  <c r="O344" i="48"/>
  <c r="M344" i="48"/>
  <c r="K344" i="48"/>
  <c r="X343" i="48"/>
  <c r="W343" i="48"/>
  <c r="V343" i="48"/>
  <c r="U343" i="48"/>
  <c r="T343" i="48"/>
  <c r="S343" i="48"/>
  <c r="Q343" i="48"/>
  <c r="O343" i="48"/>
  <c r="M343" i="48"/>
  <c r="K343" i="48"/>
  <c r="X342" i="48"/>
  <c r="W342" i="48"/>
  <c r="V342" i="48"/>
  <c r="U342" i="48"/>
  <c r="T342" i="48"/>
  <c r="S342" i="48"/>
  <c r="Q342" i="48"/>
  <c r="O342" i="48"/>
  <c r="M342" i="48"/>
  <c r="K342" i="48"/>
  <c r="X341" i="48"/>
  <c r="W341" i="48"/>
  <c r="V341" i="48"/>
  <c r="U341" i="48"/>
  <c r="T341" i="48"/>
  <c r="S341" i="48"/>
  <c r="Q341" i="48"/>
  <c r="O341" i="48"/>
  <c r="M341" i="48"/>
  <c r="K341" i="48"/>
  <c r="X340" i="48"/>
  <c r="W340" i="48"/>
  <c r="V340" i="48"/>
  <c r="U340" i="48"/>
  <c r="T340" i="48"/>
  <c r="S340" i="48"/>
  <c r="Q340" i="48"/>
  <c r="O340" i="48"/>
  <c r="M340" i="48"/>
  <c r="K340" i="48"/>
  <c r="X339" i="48"/>
  <c r="W339" i="48"/>
  <c r="V339" i="48"/>
  <c r="U339" i="48"/>
  <c r="T339" i="48"/>
  <c r="S339" i="48"/>
  <c r="Q339" i="48"/>
  <c r="O339" i="48"/>
  <c r="M339" i="48"/>
  <c r="K339" i="48"/>
  <c r="X338" i="48"/>
  <c r="W338" i="48"/>
  <c r="V338" i="48"/>
  <c r="U338" i="48"/>
  <c r="T338" i="48"/>
  <c r="S338" i="48"/>
  <c r="Q338" i="48"/>
  <c r="O338" i="48"/>
  <c r="M338" i="48"/>
  <c r="K338" i="48"/>
  <c r="X337" i="48"/>
  <c r="W337" i="48"/>
  <c r="V337" i="48"/>
  <c r="U337" i="48"/>
  <c r="T337" i="48"/>
  <c r="S337" i="48"/>
  <c r="Q337" i="48"/>
  <c r="O337" i="48"/>
  <c r="M337" i="48"/>
  <c r="K337" i="48"/>
  <c r="X336" i="48"/>
  <c r="W336" i="48"/>
  <c r="V336" i="48"/>
  <c r="U336" i="48"/>
  <c r="T336" i="48"/>
  <c r="S336" i="48"/>
  <c r="Q336" i="48"/>
  <c r="O336" i="48"/>
  <c r="M336" i="48"/>
  <c r="K336" i="48"/>
  <c r="X335" i="48"/>
  <c r="W335" i="48"/>
  <c r="V335" i="48"/>
  <c r="U335" i="48"/>
  <c r="T335" i="48"/>
  <c r="S335" i="48"/>
  <c r="Q335" i="48"/>
  <c r="O335" i="48"/>
  <c r="M335" i="48"/>
  <c r="K335" i="48"/>
  <c r="X334" i="48"/>
  <c r="W334" i="48"/>
  <c r="V334" i="48"/>
  <c r="U334" i="48"/>
  <c r="T334" i="48"/>
  <c r="S334" i="48"/>
  <c r="Q334" i="48"/>
  <c r="O334" i="48"/>
  <c r="M334" i="48"/>
  <c r="K334" i="48"/>
  <c r="X333" i="48"/>
  <c r="W333" i="48"/>
  <c r="V333" i="48"/>
  <c r="U333" i="48"/>
  <c r="T333" i="48"/>
  <c r="S333" i="48"/>
  <c r="Q333" i="48"/>
  <c r="O333" i="48"/>
  <c r="M333" i="48"/>
  <c r="K333" i="48"/>
  <c r="X332" i="48"/>
  <c r="W332" i="48"/>
  <c r="V332" i="48"/>
  <c r="U332" i="48"/>
  <c r="T332" i="48"/>
  <c r="S332" i="48"/>
  <c r="Q332" i="48"/>
  <c r="O332" i="48"/>
  <c r="M332" i="48"/>
  <c r="K332" i="48"/>
  <c r="X331" i="48"/>
  <c r="W331" i="48"/>
  <c r="V331" i="48"/>
  <c r="U331" i="48"/>
  <c r="T331" i="48"/>
  <c r="S331" i="48"/>
  <c r="Q331" i="48"/>
  <c r="O331" i="48"/>
  <c r="M331" i="48"/>
  <c r="K331" i="48"/>
  <c r="X330" i="48"/>
  <c r="W330" i="48"/>
  <c r="V330" i="48"/>
  <c r="U330" i="48"/>
  <c r="T330" i="48"/>
  <c r="S330" i="48"/>
  <c r="Q330" i="48"/>
  <c r="O330" i="48"/>
  <c r="M330" i="48"/>
  <c r="K330" i="48"/>
  <c r="X329" i="48"/>
  <c r="W329" i="48"/>
  <c r="V329" i="48"/>
  <c r="U329" i="48"/>
  <c r="T329" i="48"/>
  <c r="S329" i="48"/>
  <c r="Q329" i="48"/>
  <c r="O329" i="48"/>
  <c r="M329" i="48"/>
  <c r="K329" i="48"/>
  <c r="X328" i="48"/>
  <c r="W328" i="48"/>
  <c r="V328" i="48"/>
  <c r="U328" i="48"/>
  <c r="T328" i="48"/>
  <c r="S328" i="48"/>
  <c r="Q328" i="48"/>
  <c r="O328" i="48"/>
  <c r="M328" i="48"/>
  <c r="K328" i="48"/>
  <c r="X327" i="48"/>
  <c r="W327" i="48"/>
  <c r="V327" i="48"/>
  <c r="U327" i="48"/>
  <c r="T327" i="48"/>
  <c r="S327" i="48"/>
  <c r="Q327" i="48"/>
  <c r="O327" i="48"/>
  <c r="M327" i="48"/>
  <c r="K327" i="48"/>
  <c r="X326" i="48"/>
  <c r="W326" i="48"/>
  <c r="V326" i="48"/>
  <c r="U326" i="48"/>
  <c r="T326" i="48"/>
  <c r="S326" i="48"/>
  <c r="Q326" i="48"/>
  <c r="O326" i="48"/>
  <c r="M326" i="48"/>
  <c r="K326" i="48"/>
  <c r="X325" i="48"/>
  <c r="W325" i="48"/>
  <c r="V325" i="48"/>
  <c r="U325" i="48"/>
  <c r="T325" i="48"/>
  <c r="S325" i="48"/>
  <c r="Q325" i="48"/>
  <c r="O325" i="48"/>
  <c r="M325" i="48"/>
  <c r="K325" i="48"/>
  <c r="X324" i="48"/>
  <c r="W324" i="48"/>
  <c r="V324" i="48"/>
  <c r="U324" i="48"/>
  <c r="T324" i="48"/>
  <c r="S324" i="48"/>
  <c r="Q324" i="48"/>
  <c r="O324" i="48"/>
  <c r="M324" i="48"/>
  <c r="K324" i="48"/>
  <c r="X323" i="48"/>
  <c r="W323" i="48"/>
  <c r="V323" i="48"/>
  <c r="U323" i="48"/>
  <c r="T323" i="48"/>
  <c r="S323" i="48"/>
  <c r="Q323" i="48"/>
  <c r="O323" i="48"/>
  <c r="M323" i="48"/>
  <c r="K323" i="48"/>
  <c r="X322" i="48"/>
  <c r="W322" i="48"/>
  <c r="V322" i="48"/>
  <c r="U322" i="48"/>
  <c r="T322" i="48"/>
  <c r="S322" i="48"/>
  <c r="Q322" i="48"/>
  <c r="O322" i="48"/>
  <c r="M322" i="48"/>
  <c r="K322" i="48"/>
  <c r="X321" i="48"/>
  <c r="W321" i="48"/>
  <c r="V321" i="48"/>
  <c r="U321" i="48"/>
  <c r="T321" i="48"/>
  <c r="S321" i="48"/>
  <c r="Q321" i="48"/>
  <c r="O321" i="48"/>
  <c r="M321" i="48"/>
  <c r="K321" i="48"/>
  <c r="X320" i="48"/>
  <c r="W320" i="48"/>
  <c r="V320" i="48"/>
  <c r="U320" i="48"/>
  <c r="T320" i="48"/>
  <c r="S320" i="48"/>
  <c r="Q320" i="48"/>
  <c r="O320" i="48"/>
  <c r="M320" i="48"/>
  <c r="K320" i="48"/>
  <c r="X319" i="48"/>
  <c r="W319" i="48"/>
  <c r="V319" i="48"/>
  <c r="U319" i="48"/>
  <c r="T319" i="48"/>
  <c r="S319" i="48"/>
  <c r="Q319" i="48"/>
  <c r="O319" i="48"/>
  <c r="M319" i="48"/>
  <c r="K319" i="48"/>
  <c r="X318" i="48"/>
  <c r="W318" i="48"/>
  <c r="V318" i="48"/>
  <c r="U318" i="48"/>
  <c r="T318" i="48"/>
  <c r="S318" i="48"/>
  <c r="Q318" i="48"/>
  <c r="O318" i="48"/>
  <c r="M318" i="48"/>
  <c r="K318" i="48"/>
  <c r="X317" i="48"/>
  <c r="W317" i="48"/>
  <c r="V317" i="48"/>
  <c r="U317" i="48"/>
  <c r="T317" i="48"/>
  <c r="S317" i="48"/>
  <c r="Q317" i="48"/>
  <c r="O317" i="48"/>
  <c r="M317" i="48"/>
  <c r="K317" i="48"/>
  <c r="X316" i="48"/>
  <c r="W316" i="48"/>
  <c r="V316" i="48"/>
  <c r="U316" i="48"/>
  <c r="T316" i="48"/>
  <c r="S316" i="48"/>
  <c r="Q316" i="48"/>
  <c r="O316" i="48"/>
  <c r="M316" i="48"/>
  <c r="K316" i="48"/>
  <c r="X315" i="48"/>
  <c r="W315" i="48"/>
  <c r="V315" i="48"/>
  <c r="U315" i="48"/>
  <c r="T315" i="48"/>
  <c r="S315" i="48"/>
  <c r="Q315" i="48"/>
  <c r="O315" i="48"/>
  <c r="M315" i="48"/>
  <c r="K315" i="48"/>
  <c r="X314" i="48"/>
  <c r="W314" i="48"/>
  <c r="V314" i="48"/>
  <c r="U314" i="48"/>
  <c r="T314" i="48"/>
  <c r="S314" i="48"/>
  <c r="Q314" i="48"/>
  <c r="O314" i="48"/>
  <c r="M314" i="48"/>
  <c r="K314" i="48"/>
  <c r="X313" i="48"/>
  <c r="W313" i="48"/>
  <c r="V313" i="48"/>
  <c r="U313" i="48"/>
  <c r="T313" i="48"/>
  <c r="S313" i="48"/>
  <c r="Q313" i="48"/>
  <c r="O313" i="48"/>
  <c r="M313" i="48"/>
  <c r="K313" i="48"/>
  <c r="X312" i="48"/>
  <c r="W312" i="48"/>
  <c r="V312" i="48"/>
  <c r="U312" i="48"/>
  <c r="T312" i="48"/>
  <c r="S312" i="48"/>
  <c r="Q312" i="48"/>
  <c r="O312" i="48"/>
  <c r="M312" i="48"/>
  <c r="K312" i="48"/>
  <c r="X311" i="48"/>
  <c r="W311" i="48"/>
  <c r="V311" i="48"/>
  <c r="U311" i="48"/>
  <c r="T311" i="48"/>
  <c r="S311" i="48"/>
  <c r="Q311" i="48"/>
  <c r="O311" i="48"/>
  <c r="M311" i="48"/>
  <c r="K311" i="48"/>
  <c r="X310" i="48"/>
  <c r="W310" i="48"/>
  <c r="V310" i="48"/>
  <c r="U310" i="48"/>
  <c r="T310" i="48"/>
  <c r="S310" i="48"/>
  <c r="Q310" i="48"/>
  <c r="O310" i="48"/>
  <c r="M310" i="48"/>
  <c r="K310" i="48"/>
  <c r="X309" i="48"/>
  <c r="W309" i="48"/>
  <c r="V309" i="48"/>
  <c r="U309" i="48"/>
  <c r="T309" i="48"/>
  <c r="S309" i="48"/>
  <c r="Q309" i="48"/>
  <c r="O309" i="48"/>
  <c r="M309" i="48"/>
  <c r="K309" i="48"/>
  <c r="X308" i="48"/>
  <c r="W308" i="48"/>
  <c r="V308" i="48"/>
  <c r="U308" i="48"/>
  <c r="T308" i="48"/>
  <c r="S308" i="48"/>
  <c r="Q308" i="48"/>
  <c r="O308" i="48"/>
  <c r="M308" i="48"/>
  <c r="K308" i="48"/>
  <c r="X307" i="48"/>
  <c r="W307" i="48"/>
  <c r="V307" i="48"/>
  <c r="U307" i="48"/>
  <c r="T307" i="48"/>
  <c r="S307" i="48"/>
  <c r="Q307" i="48"/>
  <c r="O307" i="48"/>
  <c r="M307" i="48"/>
  <c r="K307" i="48"/>
  <c r="X306" i="48"/>
  <c r="W306" i="48"/>
  <c r="V306" i="48"/>
  <c r="U306" i="48"/>
  <c r="T306" i="48"/>
  <c r="S306" i="48"/>
  <c r="Q306" i="48"/>
  <c r="O306" i="48"/>
  <c r="M306" i="48"/>
  <c r="K306" i="48"/>
  <c r="X305" i="48"/>
  <c r="W305" i="48"/>
  <c r="V305" i="48"/>
  <c r="U305" i="48"/>
  <c r="T305" i="48"/>
  <c r="S305" i="48"/>
  <c r="Q305" i="48"/>
  <c r="O305" i="48"/>
  <c r="M305" i="48"/>
  <c r="K305" i="48"/>
  <c r="X304" i="48"/>
  <c r="W304" i="48"/>
  <c r="V304" i="48"/>
  <c r="U304" i="48"/>
  <c r="T304" i="48"/>
  <c r="S304" i="48"/>
  <c r="Q304" i="48"/>
  <c r="O304" i="48"/>
  <c r="M304" i="48"/>
  <c r="K304" i="48"/>
  <c r="X303" i="48"/>
  <c r="W303" i="48"/>
  <c r="V303" i="48"/>
  <c r="U303" i="48"/>
  <c r="T303" i="48"/>
  <c r="S303" i="48"/>
  <c r="Q303" i="48"/>
  <c r="O303" i="48"/>
  <c r="M303" i="48"/>
  <c r="K303" i="48"/>
  <c r="X302" i="48"/>
  <c r="W302" i="48"/>
  <c r="V302" i="48"/>
  <c r="U302" i="48"/>
  <c r="T302" i="48"/>
  <c r="S302" i="48"/>
  <c r="Q302" i="48"/>
  <c r="O302" i="48"/>
  <c r="M302" i="48"/>
  <c r="K302" i="48"/>
  <c r="X301" i="48"/>
  <c r="W301" i="48"/>
  <c r="V301" i="48"/>
  <c r="U301" i="48"/>
  <c r="T301" i="48"/>
  <c r="S301" i="48"/>
  <c r="Q301" i="48"/>
  <c r="O301" i="48"/>
  <c r="M301" i="48"/>
  <c r="K301" i="48"/>
  <c r="X300" i="48"/>
  <c r="W300" i="48"/>
  <c r="V300" i="48"/>
  <c r="U300" i="48"/>
  <c r="T300" i="48"/>
  <c r="S300" i="48"/>
  <c r="Q300" i="48"/>
  <c r="O300" i="48"/>
  <c r="M300" i="48"/>
  <c r="K300" i="48"/>
  <c r="X299" i="48"/>
  <c r="W299" i="48"/>
  <c r="V299" i="48"/>
  <c r="U299" i="48"/>
  <c r="T299" i="48"/>
  <c r="S299" i="48"/>
  <c r="Q299" i="48"/>
  <c r="O299" i="48"/>
  <c r="M299" i="48"/>
  <c r="K299" i="48"/>
  <c r="X298" i="48"/>
  <c r="W298" i="48"/>
  <c r="V298" i="48"/>
  <c r="U298" i="48"/>
  <c r="T298" i="48"/>
  <c r="S298" i="48"/>
  <c r="Q298" i="48"/>
  <c r="O298" i="48"/>
  <c r="M298" i="48"/>
  <c r="K298" i="48"/>
  <c r="X297" i="48"/>
  <c r="W297" i="48"/>
  <c r="V297" i="48"/>
  <c r="U297" i="48"/>
  <c r="T297" i="48"/>
  <c r="S297" i="48"/>
  <c r="Q297" i="48"/>
  <c r="O297" i="48"/>
  <c r="M297" i="48"/>
  <c r="K297" i="48"/>
  <c r="X296" i="48"/>
  <c r="W296" i="48"/>
  <c r="V296" i="48"/>
  <c r="U296" i="48"/>
  <c r="T296" i="48"/>
  <c r="S296" i="48"/>
  <c r="Q296" i="48"/>
  <c r="O296" i="48"/>
  <c r="M296" i="48"/>
  <c r="K296" i="48"/>
  <c r="X295" i="48"/>
  <c r="W295" i="48"/>
  <c r="V295" i="48"/>
  <c r="U295" i="48"/>
  <c r="T295" i="48"/>
  <c r="S295" i="48"/>
  <c r="Q295" i="48"/>
  <c r="O295" i="48"/>
  <c r="M295" i="48"/>
  <c r="K295" i="48"/>
  <c r="X294" i="48"/>
  <c r="W294" i="48"/>
  <c r="V294" i="48"/>
  <c r="U294" i="48"/>
  <c r="T294" i="48"/>
  <c r="S294" i="48"/>
  <c r="Q294" i="48"/>
  <c r="O294" i="48"/>
  <c r="M294" i="48"/>
  <c r="K294" i="48"/>
  <c r="X293" i="48"/>
  <c r="W293" i="48"/>
  <c r="V293" i="48"/>
  <c r="U293" i="48"/>
  <c r="T293" i="48"/>
  <c r="S293" i="48"/>
  <c r="Q293" i="48"/>
  <c r="O293" i="48"/>
  <c r="M293" i="48"/>
  <c r="K293" i="48"/>
  <c r="X292" i="48"/>
  <c r="W292" i="48"/>
  <c r="V292" i="48"/>
  <c r="U292" i="48"/>
  <c r="T292" i="48"/>
  <c r="S292" i="48"/>
  <c r="Q292" i="48"/>
  <c r="O292" i="48"/>
  <c r="M292" i="48"/>
  <c r="K292" i="48"/>
  <c r="X291" i="48"/>
  <c r="W291" i="48"/>
  <c r="V291" i="48"/>
  <c r="U291" i="48"/>
  <c r="T291" i="48"/>
  <c r="S291" i="48"/>
  <c r="Q291" i="48"/>
  <c r="O291" i="48"/>
  <c r="M291" i="48"/>
  <c r="K291" i="48"/>
  <c r="X290" i="48"/>
  <c r="W290" i="48"/>
  <c r="V290" i="48"/>
  <c r="U290" i="48"/>
  <c r="T290" i="48"/>
  <c r="S290" i="48"/>
  <c r="Q290" i="48"/>
  <c r="O290" i="48"/>
  <c r="M290" i="48"/>
  <c r="K290" i="48"/>
  <c r="X289" i="48"/>
  <c r="W289" i="48"/>
  <c r="V289" i="48"/>
  <c r="U289" i="48"/>
  <c r="T289" i="48"/>
  <c r="S289" i="48"/>
  <c r="Q289" i="48"/>
  <c r="O289" i="48"/>
  <c r="M289" i="48"/>
  <c r="K289" i="48"/>
  <c r="X288" i="48"/>
  <c r="W288" i="48"/>
  <c r="V288" i="48"/>
  <c r="U288" i="48"/>
  <c r="T288" i="48"/>
  <c r="S288" i="48"/>
  <c r="Q288" i="48"/>
  <c r="O288" i="48"/>
  <c r="M288" i="48"/>
  <c r="K288" i="48"/>
  <c r="X287" i="48"/>
  <c r="W287" i="48"/>
  <c r="V287" i="48"/>
  <c r="U287" i="48"/>
  <c r="T287" i="48"/>
  <c r="S287" i="48"/>
  <c r="Q287" i="48"/>
  <c r="O287" i="48"/>
  <c r="M287" i="48"/>
  <c r="K287" i="48"/>
  <c r="X286" i="48"/>
  <c r="W286" i="48"/>
  <c r="V286" i="48"/>
  <c r="U286" i="48"/>
  <c r="T286" i="48"/>
  <c r="S286" i="48"/>
  <c r="Q286" i="48"/>
  <c r="O286" i="48"/>
  <c r="M286" i="48"/>
  <c r="K286" i="48"/>
  <c r="X285" i="48"/>
  <c r="W285" i="48"/>
  <c r="V285" i="48"/>
  <c r="U285" i="48"/>
  <c r="T285" i="48"/>
  <c r="S285" i="48"/>
  <c r="Q285" i="48"/>
  <c r="O285" i="48"/>
  <c r="M285" i="48"/>
  <c r="K285" i="48"/>
  <c r="X284" i="48"/>
  <c r="W284" i="48"/>
  <c r="V284" i="48"/>
  <c r="U284" i="48"/>
  <c r="T284" i="48"/>
  <c r="S284" i="48"/>
  <c r="Q284" i="48"/>
  <c r="O284" i="48"/>
  <c r="M284" i="48"/>
  <c r="K284" i="48"/>
  <c r="X283" i="48"/>
  <c r="W283" i="48"/>
  <c r="V283" i="48"/>
  <c r="U283" i="48"/>
  <c r="T283" i="48"/>
  <c r="S283" i="48"/>
  <c r="Q283" i="48"/>
  <c r="O283" i="48"/>
  <c r="M283" i="48"/>
  <c r="K283" i="48"/>
  <c r="X282" i="48"/>
  <c r="W282" i="48"/>
  <c r="V282" i="48"/>
  <c r="U282" i="48"/>
  <c r="T282" i="48"/>
  <c r="S282" i="48"/>
  <c r="Q282" i="48"/>
  <c r="O282" i="48"/>
  <c r="M282" i="48"/>
  <c r="K282" i="48"/>
  <c r="X281" i="48"/>
  <c r="W281" i="48"/>
  <c r="V281" i="48"/>
  <c r="U281" i="48"/>
  <c r="T281" i="48"/>
  <c r="S281" i="48"/>
  <c r="Q281" i="48"/>
  <c r="O281" i="48"/>
  <c r="M281" i="48"/>
  <c r="K281" i="48"/>
  <c r="X280" i="48"/>
  <c r="W280" i="48"/>
  <c r="V280" i="48"/>
  <c r="U280" i="48"/>
  <c r="T280" i="48"/>
  <c r="S280" i="48"/>
  <c r="Q280" i="48"/>
  <c r="O280" i="48"/>
  <c r="M280" i="48"/>
  <c r="K280" i="48"/>
  <c r="X279" i="48"/>
  <c r="W279" i="48"/>
  <c r="V279" i="48"/>
  <c r="U279" i="48"/>
  <c r="T279" i="48"/>
  <c r="S279" i="48"/>
  <c r="Q279" i="48"/>
  <c r="O279" i="48"/>
  <c r="M279" i="48"/>
  <c r="K279" i="48"/>
  <c r="X278" i="48"/>
  <c r="W278" i="48"/>
  <c r="V278" i="48"/>
  <c r="U278" i="48"/>
  <c r="T278" i="48"/>
  <c r="S278" i="48"/>
  <c r="Q278" i="48"/>
  <c r="O278" i="48"/>
  <c r="M278" i="48"/>
  <c r="K278" i="48"/>
  <c r="X277" i="48"/>
  <c r="W277" i="48"/>
  <c r="V277" i="48"/>
  <c r="U277" i="48"/>
  <c r="T277" i="48"/>
  <c r="S277" i="48"/>
  <c r="Q277" i="48"/>
  <c r="O277" i="48"/>
  <c r="M277" i="48"/>
  <c r="K277" i="48"/>
  <c r="X276" i="48"/>
  <c r="W276" i="48"/>
  <c r="V276" i="48"/>
  <c r="U276" i="48"/>
  <c r="T276" i="48"/>
  <c r="S276" i="48"/>
  <c r="Q276" i="48"/>
  <c r="O276" i="48"/>
  <c r="M276" i="48"/>
  <c r="K276" i="48"/>
  <c r="X275" i="48"/>
  <c r="W275" i="48"/>
  <c r="V275" i="48"/>
  <c r="U275" i="48"/>
  <c r="T275" i="48"/>
  <c r="S275" i="48"/>
  <c r="Q275" i="48"/>
  <c r="O275" i="48"/>
  <c r="M275" i="48"/>
  <c r="K275" i="48"/>
  <c r="X274" i="48"/>
  <c r="W274" i="48"/>
  <c r="V274" i="48"/>
  <c r="U274" i="48"/>
  <c r="T274" i="48"/>
  <c r="S274" i="48"/>
  <c r="Q274" i="48"/>
  <c r="O274" i="48"/>
  <c r="M274" i="48"/>
  <c r="K274" i="48"/>
  <c r="X273" i="48"/>
  <c r="W273" i="48"/>
  <c r="V273" i="48"/>
  <c r="U273" i="48"/>
  <c r="T273" i="48"/>
  <c r="S273" i="48"/>
  <c r="Q273" i="48"/>
  <c r="O273" i="48"/>
  <c r="M273" i="48"/>
  <c r="K273" i="48"/>
  <c r="X272" i="48"/>
  <c r="W272" i="48"/>
  <c r="V272" i="48"/>
  <c r="U272" i="48"/>
  <c r="T272" i="48"/>
  <c r="S272" i="48"/>
  <c r="Q272" i="48"/>
  <c r="O272" i="48"/>
  <c r="M272" i="48"/>
  <c r="K272" i="48"/>
  <c r="X271" i="48"/>
  <c r="W271" i="48"/>
  <c r="V271" i="48"/>
  <c r="U271" i="48"/>
  <c r="T271" i="48"/>
  <c r="S271" i="48"/>
  <c r="Q271" i="48"/>
  <c r="O271" i="48"/>
  <c r="M271" i="48"/>
  <c r="K271" i="48"/>
  <c r="X270" i="48"/>
  <c r="W270" i="48"/>
  <c r="V270" i="48"/>
  <c r="U270" i="48"/>
  <c r="T270" i="48"/>
  <c r="S270" i="48"/>
  <c r="Q270" i="48"/>
  <c r="O270" i="48"/>
  <c r="M270" i="48"/>
  <c r="K270" i="48"/>
  <c r="X269" i="48"/>
  <c r="W269" i="48"/>
  <c r="V269" i="48"/>
  <c r="U269" i="48"/>
  <c r="T269" i="48"/>
  <c r="S269" i="48"/>
  <c r="Q269" i="48"/>
  <c r="O269" i="48"/>
  <c r="M269" i="48"/>
  <c r="K269" i="48"/>
  <c r="X268" i="48"/>
  <c r="W268" i="48"/>
  <c r="V268" i="48"/>
  <c r="U268" i="48"/>
  <c r="T268" i="48"/>
  <c r="S268" i="48"/>
  <c r="Q268" i="48"/>
  <c r="O268" i="48"/>
  <c r="M268" i="48"/>
  <c r="K268" i="48"/>
  <c r="X267" i="48"/>
  <c r="W267" i="48"/>
  <c r="V267" i="48"/>
  <c r="U267" i="48"/>
  <c r="T267" i="48"/>
  <c r="S267" i="48"/>
  <c r="Q267" i="48"/>
  <c r="O267" i="48"/>
  <c r="M267" i="48"/>
  <c r="K267" i="48"/>
  <c r="X266" i="48"/>
  <c r="W266" i="48"/>
  <c r="V266" i="48"/>
  <c r="U266" i="48"/>
  <c r="T266" i="48"/>
  <c r="S266" i="48"/>
  <c r="Q266" i="48"/>
  <c r="O266" i="48"/>
  <c r="M266" i="48"/>
  <c r="K266" i="48"/>
  <c r="X265" i="48"/>
  <c r="W265" i="48"/>
  <c r="V265" i="48"/>
  <c r="U265" i="48"/>
  <c r="T265" i="48"/>
  <c r="S265" i="48"/>
  <c r="Q265" i="48"/>
  <c r="O265" i="48"/>
  <c r="M265" i="48"/>
  <c r="K265" i="48"/>
  <c r="X264" i="48"/>
  <c r="W264" i="48"/>
  <c r="V264" i="48"/>
  <c r="U264" i="48"/>
  <c r="T264" i="48"/>
  <c r="S264" i="48"/>
  <c r="Q264" i="48"/>
  <c r="O264" i="48"/>
  <c r="M264" i="48"/>
  <c r="K264" i="48"/>
  <c r="X263" i="48"/>
  <c r="W263" i="48"/>
  <c r="V263" i="48"/>
  <c r="U263" i="48"/>
  <c r="T263" i="48"/>
  <c r="S263" i="48"/>
  <c r="Q263" i="48"/>
  <c r="O263" i="48"/>
  <c r="M263" i="48"/>
  <c r="K263" i="48"/>
  <c r="X262" i="48"/>
  <c r="W262" i="48"/>
  <c r="V262" i="48"/>
  <c r="U262" i="48"/>
  <c r="T262" i="48"/>
  <c r="S262" i="48"/>
  <c r="Q262" i="48"/>
  <c r="O262" i="48"/>
  <c r="M262" i="48"/>
  <c r="K262" i="48"/>
  <c r="X261" i="48"/>
  <c r="W261" i="48"/>
  <c r="V261" i="48"/>
  <c r="U261" i="48"/>
  <c r="T261" i="48"/>
  <c r="S261" i="48"/>
  <c r="Q261" i="48"/>
  <c r="O261" i="48"/>
  <c r="M261" i="48"/>
  <c r="K261" i="48"/>
  <c r="X260" i="48"/>
  <c r="W260" i="48"/>
  <c r="V260" i="48"/>
  <c r="U260" i="48"/>
  <c r="T260" i="48"/>
  <c r="S260" i="48"/>
  <c r="Q260" i="48"/>
  <c r="O260" i="48"/>
  <c r="M260" i="48"/>
  <c r="K260" i="48"/>
  <c r="X259" i="48"/>
  <c r="W259" i="48"/>
  <c r="V259" i="48"/>
  <c r="U259" i="48"/>
  <c r="T259" i="48"/>
  <c r="S259" i="48"/>
  <c r="Q259" i="48"/>
  <c r="O259" i="48"/>
  <c r="M259" i="48"/>
  <c r="K259" i="48"/>
  <c r="X258" i="48"/>
  <c r="W258" i="48"/>
  <c r="V258" i="48"/>
  <c r="U258" i="48"/>
  <c r="T258" i="48"/>
  <c r="S258" i="48"/>
  <c r="Q258" i="48"/>
  <c r="O258" i="48"/>
  <c r="M258" i="48"/>
  <c r="K258" i="48"/>
  <c r="X257" i="48"/>
  <c r="W257" i="48"/>
  <c r="V257" i="48"/>
  <c r="U257" i="48"/>
  <c r="T257" i="48"/>
  <c r="S257" i="48"/>
  <c r="Q257" i="48"/>
  <c r="O257" i="48"/>
  <c r="M257" i="48"/>
  <c r="K257" i="48"/>
  <c r="X256" i="48"/>
  <c r="W256" i="48"/>
  <c r="V256" i="48"/>
  <c r="U256" i="48"/>
  <c r="T256" i="48"/>
  <c r="S256" i="48"/>
  <c r="Q256" i="48"/>
  <c r="O256" i="48"/>
  <c r="M256" i="48"/>
  <c r="K256" i="48"/>
  <c r="X255" i="48"/>
  <c r="W255" i="48"/>
  <c r="V255" i="48"/>
  <c r="U255" i="48"/>
  <c r="T255" i="48"/>
  <c r="S255" i="48"/>
  <c r="Q255" i="48"/>
  <c r="O255" i="48"/>
  <c r="M255" i="48"/>
  <c r="K255" i="48"/>
  <c r="X254" i="48"/>
  <c r="W254" i="48"/>
  <c r="V254" i="48"/>
  <c r="U254" i="48"/>
  <c r="T254" i="48"/>
  <c r="S254" i="48"/>
  <c r="Q254" i="48"/>
  <c r="O254" i="48"/>
  <c r="M254" i="48"/>
  <c r="K254" i="48"/>
  <c r="X253" i="48"/>
  <c r="W253" i="48"/>
  <c r="V253" i="48"/>
  <c r="U253" i="48"/>
  <c r="T253" i="48"/>
  <c r="S253" i="48"/>
  <c r="Q253" i="48"/>
  <c r="O253" i="48"/>
  <c r="M253" i="48"/>
  <c r="K253" i="48"/>
  <c r="X252" i="48"/>
  <c r="W252" i="48"/>
  <c r="V252" i="48"/>
  <c r="U252" i="48"/>
  <c r="T252" i="48"/>
  <c r="S252" i="48"/>
  <c r="Q252" i="48"/>
  <c r="O252" i="48"/>
  <c r="M252" i="48"/>
  <c r="K252" i="48"/>
  <c r="X251" i="48"/>
  <c r="W251" i="48"/>
  <c r="V251" i="48"/>
  <c r="U251" i="48"/>
  <c r="T251" i="48"/>
  <c r="S251" i="48"/>
  <c r="Q251" i="48"/>
  <c r="O251" i="48"/>
  <c r="M251" i="48"/>
  <c r="K251" i="48"/>
  <c r="X250" i="48"/>
  <c r="W250" i="48"/>
  <c r="V250" i="48"/>
  <c r="U250" i="48"/>
  <c r="T250" i="48"/>
  <c r="S250" i="48"/>
  <c r="Q250" i="48"/>
  <c r="O250" i="48"/>
  <c r="M250" i="48"/>
  <c r="K250" i="48"/>
  <c r="X249" i="48"/>
  <c r="W249" i="48"/>
  <c r="V249" i="48"/>
  <c r="U249" i="48"/>
  <c r="T249" i="48"/>
  <c r="S249" i="48"/>
  <c r="Q249" i="48"/>
  <c r="O249" i="48"/>
  <c r="M249" i="48"/>
  <c r="K249" i="48"/>
  <c r="X248" i="48"/>
  <c r="W248" i="48"/>
  <c r="V248" i="48"/>
  <c r="U248" i="48"/>
  <c r="T248" i="48"/>
  <c r="S248" i="48"/>
  <c r="Q248" i="48"/>
  <c r="O248" i="48"/>
  <c r="M248" i="48"/>
  <c r="K248" i="48"/>
  <c r="X247" i="48"/>
  <c r="W247" i="48"/>
  <c r="V247" i="48"/>
  <c r="U247" i="48"/>
  <c r="T247" i="48"/>
  <c r="S247" i="48"/>
  <c r="Q247" i="48"/>
  <c r="O247" i="48"/>
  <c r="M247" i="48"/>
  <c r="K247" i="48"/>
  <c r="X246" i="48"/>
  <c r="W246" i="48"/>
  <c r="V246" i="48"/>
  <c r="U246" i="48"/>
  <c r="T246" i="48"/>
  <c r="S246" i="48"/>
  <c r="Q246" i="48"/>
  <c r="O246" i="48"/>
  <c r="M246" i="48"/>
  <c r="K246" i="48"/>
  <c r="X245" i="48"/>
  <c r="W245" i="48"/>
  <c r="V245" i="48"/>
  <c r="U245" i="48"/>
  <c r="T245" i="48"/>
  <c r="S245" i="48"/>
  <c r="Q245" i="48"/>
  <c r="O245" i="48"/>
  <c r="M245" i="48"/>
  <c r="K245" i="48"/>
  <c r="X244" i="48"/>
  <c r="W244" i="48"/>
  <c r="V244" i="48"/>
  <c r="U244" i="48"/>
  <c r="T244" i="48"/>
  <c r="S244" i="48"/>
  <c r="Q244" i="48"/>
  <c r="O244" i="48"/>
  <c r="M244" i="48"/>
  <c r="K244" i="48"/>
  <c r="X243" i="48"/>
  <c r="W243" i="48"/>
  <c r="V243" i="48"/>
  <c r="U243" i="48"/>
  <c r="T243" i="48"/>
  <c r="S243" i="48"/>
  <c r="Q243" i="48"/>
  <c r="O243" i="48"/>
  <c r="M243" i="48"/>
  <c r="K243" i="48"/>
  <c r="X242" i="48"/>
  <c r="W242" i="48"/>
  <c r="V242" i="48"/>
  <c r="U242" i="48"/>
  <c r="T242" i="48"/>
  <c r="S242" i="48"/>
  <c r="Q242" i="48"/>
  <c r="O242" i="48"/>
  <c r="M242" i="48"/>
  <c r="K242" i="48"/>
  <c r="X241" i="48"/>
  <c r="W241" i="48"/>
  <c r="V241" i="48"/>
  <c r="U241" i="48"/>
  <c r="T241" i="48"/>
  <c r="S241" i="48"/>
  <c r="Q241" i="48"/>
  <c r="O241" i="48"/>
  <c r="M241" i="48"/>
  <c r="K241" i="48"/>
  <c r="X240" i="48"/>
  <c r="W240" i="48"/>
  <c r="V240" i="48"/>
  <c r="U240" i="48"/>
  <c r="T240" i="48"/>
  <c r="S240" i="48"/>
  <c r="Q240" i="48"/>
  <c r="O240" i="48"/>
  <c r="M240" i="48"/>
  <c r="K240" i="48"/>
  <c r="X239" i="48"/>
  <c r="W239" i="48"/>
  <c r="V239" i="48"/>
  <c r="U239" i="48"/>
  <c r="T239" i="48"/>
  <c r="S239" i="48"/>
  <c r="Q239" i="48"/>
  <c r="O239" i="48"/>
  <c r="M239" i="48"/>
  <c r="K239" i="48"/>
  <c r="X238" i="48"/>
  <c r="W238" i="48"/>
  <c r="V238" i="48"/>
  <c r="U238" i="48"/>
  <c r="T238" i="48"/>
  <c r="S238" i="48"/>
  <c r="Q238" i="48"/>
  <c r="O238" i="48"/>
  <c r="M238" i="48"/>
  <c r="K238" i="48"/>
  <c r="X237" i="48"/>
  <c r="W237" i="48"/>
  <c r="V237" i="48"/>
  <c r="U237" i="48"/>
  <c r="T237" i="48"/>
  <c r="S237" i="48"/>
  <c r="Q237" i="48"/>
  <c r="O237" i="48"/>
  <c r="M237" i="48"/>
  <c r="K237" i="48"/>
  <c r="X236" i="48"/>
  <c r="W236" i="48"/>
  <c r="V236" i="48"/>
  <c r="U236" i="48"/>
  <c r="T236" i="48"/>
  <c r="S236" i="48"/>
  <c r="Q236" i="48"/>
  <c r="O236" i="48"/>
  <c r="M236" i="48"/>
  <c r="K236" i="48"/>
  <c r="X235" i="48"/>
  <c r="W235" i="48"/>
  <c r="V235" i="48"/>
  <c r="U235" i="48"/>
  <c r="T235" i="48"/>
  <c r="S235" i="48"/>
  <c r="Q235" i="48"/>
  <c r="O235" i="48"/>
  <c r="M235" i="48"/>
  <c r="K235" i="48"/>
  <c r="X234" i="48"/>
  <c r="W234" i="48"/>
  <c r="V234" i="48"/>
  <c r="U234" i="48"/>
  <c r="T234" i="48"/>
  <c r="S234" i="48"/>
  <c r="Q234" i="48"/>
  <c r="O234" i="48"/>
  <c r="M234" i="48"/>
  <c r="K234" i="48"/>
  <c r="X233" i="48"/>
  <c r="W233" i="48"/>
  <c r="V233" i="48"/>
  <c r="U233" i="48"/>
  <c r="T233" i="48"/>
  <c r="S233" i="48"/>
  <c r="Q233" i="48"/>
  <c r="O233" i="48"/>
  <c r="M233" i="48"/>
  <c r="K233" i="48"/>
  <c r="X232" i="48"/>
  <c r="W232" i="48"/>
  <c r="V232" i="48"/>
  <c r="U232" i="48"/>
  <c r="T232" i="48"/>
  <c r="S232" i="48"/>
  <c r="Q232" i="48"/>
  <c r="O232" i="48"/>
  <c r="M232" i="48"/>
  <c r="K232" i="48"/>
  <c r="X231" i="48"/>
  <c r="W231" i="48"/>
  <c r="V231" i="48"/>
  <c r="U231" i="48"/>
  <c r="T231" i="48"/>
  <c r="S231" i="48"/>
  <c r="Q231" i="48"/>
  <c r="O231" i="48"/>
  <c r="M231" i="48"/>
  <c r="K231" i="48"/>
  <c r="X230" i="48"/>
  <c r="W230" i="48"/>
  <c r="V230" i="48"/>
  <c r="U230" i="48"/>
  <c r="T230" i="48"/>
  <c r="S230" i="48"/>
  <c r="Q230" i="48"/>
  <c r="O230" i="48"/>
  <c r="M230" i="48"/>
  <c r="K230" i="48"/>
  <c r="X229" i="48"/>
  <c r="W229" i="48"/>
  <c r="V229" i="48"/>
  <c r="U229" i="48"/>
  <c r="T229" i="48"/>
  <c r="S229" i="48"/>
  <c r="Q229" i="48"/>
  <c r="O229" i="48"/>
  <c r="M229" i="48"/>
  <c r="K229" i="48"/>
  <c r="X228" i="48"/>
  <c r="W228" i="48"/>
  <c r="V228" i="48"/>
  <c r="U228" i="48"/>
  <c r="T228" i="48"/>
  <c r="S228" i="48"/>
  <c r="Q228" i="48"/>
  <c r="O228" i="48"/>
  <c r="M228" i="48"/>
  <c r="K228" i="48"/>
  <c r="X227" i="48"/>
  <c r="W227" i="48"/>
  <c r="V227" i="48"/>
  <c r="U227" i="48"/>
  <c r="T227" i="48"/>
  <c r="S227" i="48"/>
  <c r="Q227" i="48"/>
  <c r="O227" i="48"/>
  <c r="M227" i="48"/>
  <c r="K227" i="48"/>
  <c r="X226" i="48"/>
  <c r="W226" i="48"/>
  <c r="V226" i="48"/>
  <c r="U226" i="48"/>
  <c r="T226" i="48"/>
  <c r="S226" i="48"/>
  <c r="Q226" i="48"/>
  <c r="O226" i="48"/>
  <c r="M226" i="48"/>
  <c r="K226" i="48"/>
  <c r="X225" i="48"/>
  <c r="W225" i="48"/>
  <c r="V225" i="48"/>
  <c r="U225" i="48"/>
  <c r="T225" i="48"/>
  <c r="S225" i="48"/>
  <c r="Q225" i="48"/>
  <c r="O225" i="48"/>
  <c r="M225" i="48"/>
  <c r="K225" i="48"/>
  <c r="X224" i="48"/>
  <c r="W224" i="48"/>
  <c r="V224" i="48"/>
  <c r="U224" i="48"/>
  <c r="T224" i="48"/>
  <c r="S224" i="48"/>
  <c r="Q224" i="48"/>
  <c r="O224" i="48"/>
  <c r="M224" i="48"/>
  <c r="K224" i="48"/>
  <c r="X223" i="48"/>
  <c r="W223" i="48"/>
  <c r="V223" i="48"/>
  <c r="U223" i="48"/>
  <c r="T223" i="48"/>
  <c r="S223" i="48"/>
  <c r="Q223" i="48"/>
  <c r="O223" i="48"/>
  <c r="M223" i="48"/>
  <c r="K223" i="48"/>
  <c r="X222" i="48"/>
  <c r="W222" i="48"/>
  <c r="V222" i="48"/>
  <c r="U222" i="48"/>
  <c r="T222" i="48"/>
  <c r="S222" i="48"/>
  <c r="Q222" i="48"/>
  <c r="O222" i="48"/>
  <c r="M222" i="48"/>
  <c r="K222" i="48"/>
  <c r="X221" i="48"/>
  <c r="W221" i="48"/>
  <c r="V221" i="48"/>
  <c r="U221" i="48"/>
  <c r="T221" i="48"/>
  <c r="S221" i="48"/>
  <c r="Q221" i="48"/>
  <c r="O221" i="48"/>
  <c r="M221" i="48"/>
  <c r="K221" i="48"/>
  <c r="X220" i="48"/>
  <c r="W220" i="48"/>
  <c r="V220" i="48"/>
  <c r="U220" i="48"/>
  <c r="T220" i="48"/>
  <c r="S220" i="48"/>
  <c r="Q220" i="48"/>
  <c r="O220" i="48"/>
  <c r="M220" i="48"/>
  <c r="K220" i="48"/>
  <c r="X219" i="48"/>
  <c r="W219" i="48"/>
  <c r="V219" i="48"/>
  <c r="U219" i="48"/>
  <c r="T219" i="48"/>
  <c r="S219" i="48"/>
  <c r="Q219" i="48"/>
  <c r="O219" i="48"/>
  <c r="M219" i="48"/>
  <c r="K219" i="48"/>
  <c r="X218" i="48"/>
  <c r="W218" i="48"/>
  <c r="V218" i="48"/>
  <c r="U218" i="48"/>
  <c r="T218" i="48"/>
  <c r="S218" i="48"/>
  <c r="Q218" i="48"/>
  <c r="O218" i="48"/>
  <c r="M218" i="48"/>
  <c r="K218" i="48"/>
  <c r="X217" i="48"/>
  <c r="W217" i="48"/>
  <c r="V217" i="48"/>
  <c r="U217" i="48"/>
  <c r="T217" i="48"/>
  <c r="S217" i="48"/>
  <c r="Q217" i="48"/>
  <c r="O217" i="48"/>
  <c r="M217" i="48"/>
  <c r="K217" i="48"/>
  <c r="X216" i="48"/>
  <c r="W216" i="48"/>
  <c r="V216" i="48"/>
  <c r="U216" i="48"/>
  <c r="T216" i="48"/>
  <c r="S216" i="48"/>
  <c r="Q216" i="48"/>
  <c r="O216" i="48"/>
  <c r="M216" i="48"/>
  <c r="K216" i="48"/>
  <c r="X215" i="48"/>
  <c r="W215" i="48"/>
  <c r="V215" i="48"/>
  <c r="U215" i="48"/>
  <c r="T215" i="48"/>
  <c r="S215" i="48"/>
  <c r="Q215" i="48"/>
  <c r="O215" i="48"/>
  <c r="M215" i="48"/>
  <c r="K215" i="48"/>
  <c r="X214" i="48"/>
  <c r="W214" i="48"/>
  <c r="V214" i="48"/>
  <c r="U214" i="48"/>
  <c r="T214" i="48"/>
  <c r="S214" i="48"/>
  <c r="Q214" i="48"/>
  <c r="O214" i="48"/>
  <c r="M214" i="48"/>
  <c r="K214" i="48"/>
  <c r="X213" i="48"/>
  <c r="W213" i="48"/>
  <c r="V213" i="48"/>
  <c r="U213" i="48"/>
  <c r="T213" i="48"/>
  <c r="S213" i="48"/>
  <c r="Q213" i="48"/>
  <c r="O213" i="48"/>
  <c r="M213" i="48"/>
  <c r="K213" i="48"/>
  <c r="X212" i="48"/>
  <c r="W212" i="48"/>
  <c r="V212" i="48"/>
  <c r="U212" i="48"/>
  <c r="T212" i="48"/>
  <c r="S212" i="48"/>
  <c r="Q212" i="48"/>
  <c r="O212" i="48"/>
  <c r="M212" i="48"/>
  <c r="K212" i="48"/>
  <c r="X211" i="48"/>
  <c r="W211" i="48"/>
  <c r="V211" i="48"/>
  <c r="U211" i="48"/>
  <c r="T211" i="48"/>
  <c r="S211" i="48"/>
  <c r="Q211" i="48"/>
  <c r="O211" i="48"/>
  <c r="M211" i="48"/>
  <c r="K211" i="48"/>
  <c r="X210" i="48"/>
  <c r="W210" i="48"/>
  <c r="V210" i="48"/>
  <c r="U210" i="48"/>
  <c r="T210" i="48"/>
  <c r="S210" i="48"/>
  <c r="Q210" i="48"/>
  <c r="O210" i="48"/>
  <c r="M210" i="48"/>
  <c r="K210" i="48"/>
  <c r="X209" i="48"/>
  <c r="W209" i="48"/>
  <c r="V209" i="48"/>
  <c r="U209" i="48"/>
  <c r="T209" i="48"/>
  <c r="S209" i="48"/>
  <c r="Q209" i="48"/>
  <c r="O209" i="48"/>
  <c r="M209" i="48"/>
  <c r="K209" i="48"/>
  <c r="X208" i="48"/>
  <c r="W208" i="48"/>
  <c r="V208" i="48"/>
  <c r="U208" i="48"/>
  <c r="T208" i="48"/>
  <c r="S208" i="48"/>
  <c r="Q208" i="48"/>
  <c r="O208" i="48"/>
  <c r="M208" i="48"/>
  <c r="K208" i="48"/>
  <c r="X207" i="48"/>
  <c r="W207" i="48"/>
  <c r="V207" i="48"/>
  <c r="U207" i="48"/>
  <c r="T207" i="48"/>
  <c r="S207" i="48"/>
  <c r="Q207" i="48"/>
  <c r="O207" i="48"/>
  <c r="M207" i="48"/>
  <c r="K207" i="48"/>
  <c r="X206" i="48"/>
  <c r="W206" i="48"/>
  <c r="V206" i="48"/>
  <c r="U206" i="48"/>
  <c r="T206" i="48"/>
  <c r="S206" i="48"/>
  <c r="Q206" i="48"/>
  <c r="O206" i="48"/>
  <c r="M206" i="48"/>
  <c r="K206" i="48"/>
  <c r="X205" i="48"/>
  <c r="W205" i="48"/>
  <c r="V205" i="48"/>
  <c r="U205" i="48"/>
  <c r="T205" i="48"/>
  <c r="S205" i="48"/>
  <c r="Q205" i="48"/>
  <c r="O205" i="48"/>
  <c r="M205" i="48"/>
  <c r="K205" i="48"/>
  <c r="X204" i="48"/>
  <c r="W204" i="48"/>
  <c r="V204" i="48"/>
  <c r="U204" i="48"/>
  <c r="T204" i="48"/>
  <c r="S204" i="48"/>
  <c r="Q204" i="48"/>
  <c r="O204" i="48"/>
  <c r="M204" i="48"/>
  <c r="K204" i="48"/>
  <c r="X203" i="48"/>
  <c r="W203" i="48"/>
  <c r="V203" i="48"/>
  <c r="U203" i="48"/>
  <c r="T203" i="48"/>
  <c r="S203" i="48"/>
  <c r="Q203" i="48"/>
  <c r="O203" i="48"/>
  <c r="M203" i="48"/>
  <c r="K203" i="48"/>
  <c r="X202" i="48"/>
  <c r="W202" i="48"/>
  <c r="V202" i="48"/>
  <c r="U202" i="48"/>
  <c r="T202" i="48"/>
  <c r="S202" i="48"/>
  <c r="Q202" i="48"/>
  <c r="O202" i="48"/>
  <c r="M202" i="48"/>
  <c r="K202" i="48"/>
  <c r="X201" i="48"/>
  <c r="W201" i="48"/>
  <c r="V201" i="48"/>
  <c r="U201" i="48"/>
  <c r="T201" i="48"/>
  <c r="S201" i="48"/>
  <c r="Q201" i="48"/>
  <c r="O201" i="48"/>
  <c r="M201" i="48"/>
  <c r="K201" i="48"/>
  <c r="X200" i="48"/>
  <c r="W200" i="48"/>
  <c r="V200" i="48"/>
  <c r="U200" i="48"/>
  <c r="T200" i="48"/>
  <c r="S200" i="48"/>
  <c r="Q200" i="48"/>
  <c r="O200" i="48"/>
  <c r="M200" i="48"/>
  <c r="K200" i="48"/>
  <c r="X199" i="48"/>
  <c r="W199" i="48"/>
  <c r="V199" i="48"/>
  <c r="U199" i="48"/>
  <c r="T199" i="48"/>
  <c r="S199" i="48"/>
  <c r="Q199" i="48"/>
  <c r="O199" i="48"/>
  <c r="M199" i="48"/>
  <c r="K199" i="48"/>
  <c r="X198" i="48"/>
  <c r="W198" i="48"/>
  <c r="V198" i="48"/>
  <c r="U198" i="48"/>
  <c r="T198" i="48"/>
  <c r="S198" i="48"/>
  <c r="Q198" i="48"/>
  <c r="O198" i="48"/>
  <c r="M198" i="48"/>
  <c r="K198" i="48"/>
  <c r="X197" i="48"/>
  <c r="W197" i="48"/>
  <c r="V197" i="48"/>
  <c r="U197" i="48"/>
  <c r="T197" i="48"/>
  <c r="S197" i="48"/>
  <c r="Q197" i="48"/>
  <c r="O197" i="48"/>
  <c r="M197" i="48"/>
  <c r="K197" i="48"/>
  <c r="X196" i="48"/>
  <c r="W196" i="48"/>
  <c r="V196" i="48"/>
  <c r="U196" i="48"/>
  <c r="T196" i="48"/>
  <c r="S196" i="48"/>
  <c r="Q196" i="48"/>
  <c r="O196" i="48"/>
  <c r="M196" i="48"/>
  <c r="K196" i="48"/>
  <c r="X195" i="48"/>
  <c r="W195" i="48"/>
  <c r="V195" i="48"/>
  <c r="U195" i="48"/>
  <c r="T195" i="48"/>
  <c r="S195" i="48"/>
  <c r="Q195" i="48"/>
  <c r="O195" i="48"/>
  <c r="M195" i="48"/>
  <c r="K195" i="48"/>
  <c r="X194" i="48"/>
  <c r="W194" i="48"/>
  <c r="V194" i="48"/>
  <c r="U194" i="48"/>
  <c r="T194" i="48"/>
  <c r="S194" i="48"/>
  <c r="Q194" i="48"/>
  <c r="O194" i="48"/>
  <c r="M194" i="48"/>
  <c r="K194" i="48"/>
  <c r="X193" i="48"/>
  <c r="W193" i="48"/>
  <c r="V193" i="48"/>
  <c r="U193" i="48"/>
  <c r="T193" i="48"/>
  <c r="S193" i="48"/>
  <c r="Q193" i="48"/>
  <c r="O193" i="48"/>
  <c r="M193" i="48"/>
  <c r="K193" i="48"/>
  <c r="X192" i="48"/>
  <c r="W192" i="48"/>
  <c r="V192" i="48"/>
  <c r="U192" i="48"/>
  <c r="T192" i="48"/>
  <c r="S192" i="48"/>
  <c r="Q192" i="48"/>
  <c r="O192" i="48"/>
  <c r="M192" i="48"/>
  <c r="K192" i="48"/>
  <c r="X191" i="48"/>
  <c r="W191" i="48"/>
  <c r="V191" i="48"/>
  <c r="U191" i="48"/>
  <c r="T191" i="48"/>
  <c r="S191" i="48"/>
  <c r="Q191" i="48"/>
  <c r="O191" i="48"/>
  <c r="M191" i="48"/>
  <c r="K191" i="48"/>
  <c r="X190" i="48"/>
  <c r="W190" i="48"/>
  <c r="V190" i="48"/>
  <c r="U190" i="48"/>
  <c r="T190" i="48"/>
  <c r="S190" i="48"/>
  <c r="Q190" i="48"/>
  <c r="O190" i="48"/>
  <c r="M190" i="48"/>
  <c r="K190" i="48"/>
  <c r="X189" i="48"/>
  <c r="W189" i="48"/>
  <c r="V189" i="48"/>
  <c r="U189" i="48"/>
  <c r="T189" i="48"/>
  <c r="S189" i="48"/>
  <c r="Q189" i="48"/>
  <c r="O189" i="48"/>
  <c r="M189" i="48"/>
  <c r="K189" i="48"/>
  <c r="X188" i="48"/>
  <c r="W188" i="48"/>
  <c r="V188" i="48"/>
  <c r="U188" i="48"/>
  <c r="T188" i="48"/>
  <c r="S188" i="48"/>
  <c r="Q188" i="48"/>
  <c r="O188" i="48"/>
  <c r="M188" i="48"/>
  <c r="K188" i="48"/>
  <c r="X187" i="48"/>
  <c r="W187" i="48"/>
  <c r="V187" i="48"/>
  <c r="U187" i="48"/>
  <c r="T187" i="48"/>
  <c r="S187" i="48"/>
  <c r="Q187" i="48"/>
  <c r="O187" i="48"/>
  <c r="M187" i="48"/>
  <c r="K187" i="48"/>
  <c r="X186" i="48"/>
  <c r="W186" i="48"/>
  <c r="V186" i="48"/>
  <c r="U186" i="48"/>
  <c r="T186" i="48"/>
  <c r="S186" i="48"/>
  <c r="Q186" i="48"/>
  <c r="O186" i="48"/>
  <c r="M186" i="48"/>
  <c r="K186" i="48"/>
  <c r="X185" i="48"/>
  <c r="W185" i="48"/>
  <c r="V185" i="48"/>
  <c r="U185" i="48"/>
  <c r="T185" i="48"/>
  <c r="S185" i="48"/>
  <c r="Q185" i="48"/>
  <c r="O185" i="48"/>
  <c r="M185" i="48"/>
  <c r="K185" i="48"/>
  <c r="X184" i="48"/>
  <c r="W184" i="48"/>
  <c r="V184" i="48"/>
  <c r="U184" i="48"/>
  <c r="T184" i="48"/>
  <c r="S184" i="48"/>
  <c r="Q184" i="48"/>
  <c r="O184" i="48"/>
  <c r="M184" i="48"/>
  <c r="K184" i="48"/>
  <c r="X183" i="48"/>
  <c r="W183" i="48"/>
  <c r="V183" i="48"/>
  <c r="U183" i="48"/>
  <c r="T183" i="48"/>
  <c r="S183" i="48"/>
  <c r="Q183" i="48"/>
  <c r="O183" i="48"/>
  <c r="M183" i="48"/>
  <c r="K183" i="48"/>
  <c r="X182" i="48"/>
  <c r="W182" i="48"/>
  <c r="V182" i="48"/>
  <c r="U182" i="48"/>
  <c r="T182" i="48"/>
  <c r="S182" i="48"/>
  <c r="Q182" i="48"/>
  <c r="O182" i="48"/>
  <c r="M182" i="48"/>
  <c r="K182" i="48"/>
  <c r="X181" i="48"/>
  <c r="W181" i="48"/>
  <c r="V181" i="48"/>
  <c r="U181" i="48"/>
  <c r="T181" i="48"/>
  <c r="S181" i="48"/>
  <c r="Q181" i="48"/>
  <c r="O181" i="48"/>
  <c r="M181" i="48"/>
  <c r="K181" i="48"/>
  <c r="X180" i="48"/>
  <c r="W180" i="48"/>
  <c r="V180" i="48"/>
  <c r="U180" i="48"/>
  <c r="T180" i="48"/>
  <c r="S180" i="48"/>
  <c r="Q180" i="48"/>
  <c r="O180" i="48"/>
  <c r="M180" i="48"/>
  <c r="K180" i="48"/>
  <c r="X179" i="48"/>
  <c r="W179" i="48"/>
  <c r="V179" i="48"/>
  <c r="U179" i="48"/>
  <c r="T179" i="48"/>
  <c r="S179" i="48"/>
  <c r="Q179" i="48"/>
  <c r="O179" i="48"/>
  <c r="M179" i="48"/>
  <c r="K179" i="48"/>
  <c r="X178" i="48"/>
  <c r="W178" i="48"/>
  <c r="V178" i="48"/>
  <c r="U178" i="48"/>
  <c r="T178" i="48"/>
  <c r="S178" i="48"/>
  <c r="Q178" i="48"/>
  <c r="O178" i="48"/>
  <c r="M178" i="48"/>
  <c r="K178" i="48"/>
  <c r="X177" i="48"/>
  <c r="W177" i="48"/>
  <c r="V177" i="48"/>
  <c r="U177" i="48"/>
  <c r="T177" i="48"/>
  <c r="S177" i="48"/>
  <c r="Q177" i="48"/>
  <c r="O177" i="48"/>
  <c r="M177" i="48"/>
  <c r="K177" i="48"/>
  <c r="X176" i="48"/>
  <c r="W176" i="48"/>
  <c r="V176" i="48"/>
  <c r="U176" i="48"/>
  <c r="T176" i="48"/>
  <c r="S176" i="48"/>
  <c r="Q176" i="48"/>
  <c r="O176" i="48"/>
  <c r="M176" i="48"/>
  <c r="K176" i="48"/>
  <c r="X175" i="48"/>
  <c r="W175" i="48"/>
  <c r="V175" i="48"/>
  <c r="U175" i="48"/>
  <c r="T175" i="48"/>
  <c r="S175" i="48"/>
  <c r="Q175" i="48"/>
  <c r="O175" i="48"/>
  <c r="M175" i="48"/>
  <c r="K175" i="48"/>
  <c r="X174" i="48"/>
  <c r="W174" i="48"/>
  <c r="V174" i="48"/>
  <c r="U174" i="48"/>
  <c r="T174" i="48"/>
  <c r="S174" i="48"/>
  <c r="Q174" i="48"/>
  <c r="O174" i="48"/>
  <c r="M174" i="48"/>
  <c r="K174" i="48"/>
  <c r="X173" i="48"/>
  <c r="W173" i="48"/>
  <c r="V173" i="48"/>
  <c r="U173" i="48"/>
  <c r="T173" i="48"/>
  <c r="S173" i="48"/>
  <c r="Q173" i="48"/>
  <c r="O173" i="48"/>
  <c r="M173" i="48"/>
  <c r="K173" i="48"/>
  <c r="X172" i="48"/>
  <c r="W172" i="48"/>
  <c r="V172" i="48"/>
  <c r="U172" i="48"/>
  <c r="T172" i="48"/>
  <c r="S172" i="48"/>
  <c r="Q172" i="48"/>
  <c r="O172" i="48"/>
  <c r="M172" i="48"/>
  <c r="K172" i="48"/>
  <c r="X171" i="48"/>
  <c r="W171" i="48"/>
  <c r="V171" i="48"/>
  <c r="U171" i="48"/>
  <c r="T171" i="48"/>
  <c r="S171" i="48"/>
  <c r="Q171" i="48"/>
  <c r="O171" i="48"/>
  <c r="M171" i="48"/>
  <c r="K171" i="48"/>
  <c r="X170" i="48"/>
  <c r="W170" i="48"/>
  <c r="V170" i="48"/>
  <c r="U170" i="48"/>
  <c r="T170" i="48"/>
  <c r="S170" i="48"/>
  <c r="Q170" i="48"/>
  <c r="O170" i="48"/>
  <c r="M170" i="48"/>
  <c r="K170" i="48"/>
  <c r="X169" i="48"/>
  <c r="W169" i="48"/>
  <c r="V169" i="48"/>
  <c r="U169" i="48"/>
  <c r="T169" i="48"/>
  <c r="S169" i="48"/>
  <c r="Q169" i="48"/>
  <c r="O169" i="48"/>
  <c r="M169" i="48"/>
  <c r="K169" i="48"/>
  <c r="X168" i="48"/>
  <c r="W168" i="48"/>
  <c r="V168" i="48"/>
  <c r="U168" i="48"/>
  <c r="T168" i="48"/>
  <c r="S168" i="48"/>
  <c r="Q168" i="48"/>
  <c r="O168" i="48"/>
  <c r="M168" i="48"/>
  <c r="K168" i="48"/>
  <c r="X167" i="48"/>
  <c r="W167" i="48"/>
  <c r="V167" i="48"/>
  <c r="U167" i="48"/>
  <c r="T167" i="48"/>
  <c r="S167" i="48"/>
  <c r="Q167" i="48"/>
  <c r="O167" i="48"/>
  <c r="M167" i="48"/>
  <c r="K167" i="48"/>
  <c r="X166" i="48"/>
  <c r="W166" i="48"/>
  <c r="V166" i="48"/>
  <c r="U166" i="48"/>
  <c r="T166" i="48"/>
  <c r="S166" i="48"/>
  <c r="Q166" i="48"/>
  <c r="O166" i="48"/>
  <c r="M166" i="48"/>
  <c r="K166" i="48"/>
  <c r="X165" i="48"/>
  <c r="W165" i="48"/>
  <c r="V165" i="48"/>
  <c r="U165" i="48"/>
  <c r="T165" i="48"/>
  <c r="S165" i="48"/>
  <c r="Q165" i="48"/>
  <c r="O165" i="48"/>
  <c r="M165" i="48"/>
  <c r="K165" i="48"/>
  <c r="X164" i="48"/>
  <c r="W164" i="48"/>
  <c r="V164" i="48"/>
  <c r="U164" i="48"/>
  <c r="T164" i="48"/>
  <c r="S164" i="48"/>
  <c r="Q164" i="48"/>
  <c r="O164" i="48"/>
  <c r="M164" i="48"/>
  <c r="K164" i="48"/>
  <c r="X163" i="48"/>
  <c r="W163" i="48"/>
  <c r="V163" i="48"/>
  <c r="U163" i="48"/>
  <c r="T163" i="48"/>
  <c r="S163" i="48"/>
  <c r="Q163" i="48"/>
  <c r="O163" i="48"/>
  <c r="M163" i="48"/>
  <c r="K163" i="48"/>
  <c r="X162" i="48"/>
  <c r="W162" i="48"/>
  <c r="V162" i="48"/>
  <c r="U162" i="48"/>
  <c r="T162" i="48"/>
  <c r="S162" i="48"/>
  <c r="Q162" i="48"/>
  <c r="O162" i="48"/>
  <c r="M162" i="48"/>
  <c r="K162" i="48"/>
  <c r="X161" i="48"/>
  <c r="W161" i="48"/>
  <c r="V161" i="48"/>
  <c r="U161" i="48"/>
  <c r="T161" i="48"/>
  <c r="S161" i="48"/>
  <c r="Q161" i="48"/>
  <c r="O161" i="48"/>
  <c r="M161" i="48"/>
  <c r="K161" i="48"/>
  <c r="X160" i="48"/>
  <c r="W160" i="48"/>
  <c r="V160" i="48"/>
  <c r="U160" i="48"/>
  <c r="T160" i="48"/>
  <c r="S160" i="48"/>
  <c r="Q160" i="48"/>
  <c r="O160" i="48"/>
  <c r="M160" i="48"/>
  <c r="K160" i="48"/>
  <c r="X159" i="48"/>
  <c r="W159" i="48"/>
  <c r="V159" i="48"/>
  <c r="U159" i="48"/>
  <c r="T159" i="48"/>
  <c r="S159" i="48"/>
  <c r="Q159" i="48"/>
  <c r="O159" i="48"/>
  <c r="M159" i="48"/>
  <c r="K159" i="48"/>
  <c r="X158" i="48"/>
  <c r="W158" i="48"/>
  <c r="V158" i="48"/>
  <c r="U158" i="48"/>
  <c r="T158" i="48"/>
  <c r="S158" i="48"/>
  <c r="Q158" i="48"/>
  <c r="O158" i="48"/>
  <c r="M158" i="48"/>
  <c r="K158" i="48"/>
  <c r="X157" i="48"/>
  <c r="W157" i="48"/>
  <c r="V157" i="48"/>
  <c r="U157" i="48"/>
  <c r="T157" i="48"/>
  <c r="S157" i="48"/>
  <c r="Q157" i="48"/>
  <c r="O157" i="48"/>
  <c r="M157" i="48"/>
  <c r="K157" i="48"/>
  <c r="X156" i="48"/>
  <c r="W156" i="48"/>
  <c r="V156" i="48"/>
  <c r="U156" i="48"/>
  <c r="T156" i="48"/>
  <c r="S156" i="48"/>
  <c r="Q156" i="48"/>
  <c r="O156" i="48"/>
  <c r="M156" i="48"/>
  <c r="K156" i="48"/>
  <c r="X155" i="48"/>
  <c r="W155" i="48"/>
  <c r="V155" i="48"/>
  <c r="U155" i="48"/>
  <c r="T155" i="48"/>
  <c r="S155" i="48"/>
  <c r="Q155" i="48"/>
  <c r="O155" i="48"/>
  <c r="M155" i="48"/>
  <c r="K155" i="48"/>
  <c r="X154" i="48"/>
  <c r="W154" i="48"/>
  <c r="V154" i="48"/>
  <c r="U154" i="48"/>
  <c r="T154" i="48"/>
  <c r="S154" i="48"/>
  <c r="Q154" i="48"/>
  <c r="O154" i="48"/>
  <c r="M154" i="48"/>
  <c r="K154" i="48"/>
  <c r="X153" i="48"/>
  <c r="W153" i="48"/>
  <c r="V153" i="48"/>
  <c r="U153" i="48"/>
  <c r="T153" i="48"/>
  <c r="S153" i="48"/>
  <c r="Q153" i="48"/>
  <c r="O153" i="48"/>
  <c r="M153" i="48"/>
  <c r="K153" i="48"/>
  <c r="X152" i="48"/>
  <c r="W152" i="48"/>
  <c r="V152" i="48"/>
  <c r="U152" i="48"/>
  <c r="T152" i="48"/>
  <c r="S152" i="48"/>
  <c r="Q152" i="48"/>
  <c r="O152" i="48"/>
  <c r="M152" i="48"/>
  <c r="K152" i="48"/>
  <c r="X151" i="48"/>
  <c r="W151" i="48"/>
  <c r="V151" i="48"/>
  <c r="U151" i="48"/>
  <c r="T151" i="48"/>
  <c r="S151" i="48"/>
  <c r="Q151" i="48"/>
  <c r="O151" i="48"/>
  <c r="M151" i="48"/>
  <c r="K151" i="48"/>
  <c r="X150" i="48"/>
  <c r="W150" i="48"/>
  <c r="V150" i="48"/>
  <c r="U150" i="48"/>
  <c r="T150" i="48"/>
  <c r="S150" i="48"/>
  <c r="Q150" i="48"/>
  <c r="O150" i="48"/>
  <c r="M150" i="48"/>
  <c r="K150" i="48"/>
  <c r="X149" i="48"/>
  <c r="W149" i="48"/>
  <c r="V149" i="48"/>
  <c r="U149" i="48"/>
  <c r="T149" i="48"/>
  <c r="S149" i="48"/>
  <c r="Q149" i="48"/>
  <c r="O149" i="48"/>
  <c r="M149" i="48"/>
  <c r="K149" i="48"/>
  <c r="X148" i="48"/>
  <c r="W148" i="48"/>
  <c r="V148" i="48"/>
  <c r="U148" i="48"/>
  <c r="T148" i="48"/>
  <c r="S148" i="48"/>
  <c r="Q148" i="48"/>
  <c r="O148" i="48"/>
  <c r="M148" i="48"/>
  <c r="K148" i="48"/>
  <c r="X147" i="48"/>
  <c r="W147" i="48"/>
  <c r="V147" i="48"/>
  <c r="U147" i="48"/>
  <c r="T147" i="48"/>
  <c r="S147" i="48"/>
  <c r="Q147" i="48"/>
  <c r="O147" i="48"/>
  <c r="M147" i="48"/>
  <c r="K147" i="48"/>
  <c r="X146" i="48"/>
  <c r="W146" i="48"/>
  <c r="V146" i="48"/>
  <c r="U146" i="48"/>
  <c r="T146" i="48"/>
  <c r="S146" i="48"/>
  <c r="Q146" i="48"/>
  <c r="O146" i="48"/>
  <c r="M146" i="48"/>
  <c r="K146" i="48"/>
  <c r="X145" i="48"/>
  <c r="W145" i="48"/>
  <c r="V145" i="48"/>
  <c r="U145" i="48"/>
  <c r="T145" i="48"/>
  <c r="S145" i="48"/>
  <c r="Q145" i="48"/>
  <c r="O145" i="48"/>
  <c r="M145" i="48"/>
  <c r="K145" i="48"/>
  <c r="X144" i="48"/>
  <c r="W144" i="48"/>
  <c r="V144" i="48"/>
  <c r="U144" i="48"/>
  <c r="T144" i="48"/>
  <c r="S144" i="48"/>
  <c r="Q144" i="48"/>
  <c r="O144" i="48"/>
  <c r="M144" i="48"/>
  <c r="K144" i="48"/>
  <c r="X143" i="48"/>
  <c r="W143" i="48"/>
  <c r="V143" i="48"/>
  <c r="U143" i="48"/>
  <c r="T143" i="48"/>
  <c r="S143" i="48"/>
  <c r="Q143" i="48"/>
  <c r="O143" i="48"/>
  <c r="M143" i="48"/>
  <c r="K143" i="48"/>
  <c r="X142" i="48"/>
  <c r="W142" i="48"/>
  <c r="V142" i="48"/>
  <c r="U142" i="48"/>
  <c r="T142" i="48"/>
  <c r="S142" i="48"/>
  <c r="Q142" i="48"/>
  <c r="O142" i="48"/>
  <c r="M142" i="48"/>
  <c r="K142" i="48"/>
  <c r="X141" i="48"/>
  <c r="W141" i="48"/>
  <c r="V141" i="48"/>
  <c r="U141" i="48"/>
  <c r="T141" i="48"/>
  <c r="S141" i="48"/>
  <c r="Q141" i="48"/>
  <c r="O141" i="48"/>
  <c r="M141" i="48"/>
  <c r="K141" i="48"/>
  <c r="X140" i="48"/>
  <c r="W140" i="48"/>
  <c r="V140" i="48"/>
  <c r="U140" i="48"/>
  <c r="T140" i="48"/>
  <c r="S140" i="48"/>
  <c r="Q140" i="48"/>
  <c r="O140" i="48"/>
  <c r="M140" i="48"/>
  <c r="K140" i="48"/>
  <c r="X139" i="48"/>
  <c r="W139" i="48"/>
  <c r="V139" i="48"/>
  <c r="U139" i="48"/>
  <c r="T139" i="48"/>
  <c r="S139" i="48"/>
  <c r="Q139" i="48"/>
  <c r="O139" i="48"/>
  <c r="M139" i="48"/>
  <c r="K139" i="48"/>
  <c r="X138" i="48"/>
  <c r="W138" i="48"/>
  <c r="V138" i="48"/>
  <c r="U138" i="48"/>
  <c r="T138" i="48"/>
  <c r="S138" i="48"/>
  <c r="Q138" i="48"/>
  <c r="O138" i="48"/>
  <c r="M138" i="48"/>
  <c r="K138" i="48"/>
  <c r="X137" i="48"/>
  <c r="W137" i="48"/>
  <c r="V137" i="48"/>
  <c r="U137" i="48"/>
  <c r="T137" i="48"/>
  <c r="S137" i="48"/>
  <c r="Q137" i="48"/>
  <c r="O137" i="48"/>
  <c r="M137" i="48"/>
  <c r="K137" i="48"/>
  <c r="X136" i="48"/>
  <c r="W136" i="48"/>
  <c r="V136" i="48"/>
  <c r="U136" i="48"/>
  <c r="T136" i="48"/>
  <c r="S136" i="48"/>
  <c r="Q136" i="48"/>
  <c r="O136" i="48"/>
  <c r="M136" i="48"/>
  <c r="K136" i="48"/>
  <c r="X135" i="48"/>
  <c r="W135" i="48"/>
  <c r="V135" i="48"/>
  <c r="U135" i="48"/>
  <c r="T135" i="48"/>
  <c r="S135" i="48"/>
  <c r="Q135" i="48"/>
  <c r="O135" i="48"/>
  <c r="M135" i="48"/>
  <c r="K135" i="48"/>
  <c r="X134" i="48"/>
  <c r="W134" i="48"/>
  <c r="V134" i="48"/>
  <c r="U134" i="48"/>
  <c r="T134" i="48"/>
  <c r="S134" i="48"/>
  <c r="Q134" i="48"/>
  <c r="O134" i="48"/>
  <c r="M134" i="48"/>
  <c r="K134" i="48"/>
  <c r="X133" i="48"/>
  <c r="W133" i="48"/>
  <c r="V133" i="48"/>
  <c r="U133" i="48"/>
  <c r="T133" i="48"/>
  <c r="S133" i="48"/>
  <c r="Q133" i="48"/>
  <c r="O133" i="48"/>
  <c r="M133" i="48"/>
  <c r="K133" i="48"/>
  <c r="X132" i="48"/>
  <c r="W132" i="48"/>
  <c r="V132" i="48"/>
  <c r="U132" i="48"/>
  <c r="T132" i="48"/>
  <c r="S132" i="48"/>
  <c r="Q132" i="48"/>
  <c r="O132" i="48"/>
  <c r="M132" i="48"/>
  <c r="K132" i="48"/>
  <c r="X131" i="48"/>
  <c r="W131" i="48"/>
  <c r="V131" i="48"/>
  <c r="U131" i="48"/>
  <c r="T131" i="48"/>
  <c r="S131" i="48"/>
  <c r="Q131" i="48"/>
  <c r="O131" i="48"/>
  <c r="M131" i="48"/>
  <c r="K131" i="48"/>
  <c r="X130" i="48"/>
  <c r="W130" i="48"/>
  <c r="V130" i="48"/>
  <c r="U130" i="48"/>
  <c r="T130" i="48"/>
  <c r="S130" i="48"/>
  <c r="Q130" i="48"/>
  <c r="O130" i="48"/>
  <c r="M130" i="48"/>
  <c r="K130" i="48"/>
  <c r="X129" i="48"/>
  <c r="W129" i="48"/>
  <c r="V129" i="48"/>
  <c r="U129" i="48"/>
  <c r="T129" i="48"/>
  <c r="S129" i="48"/>
  <c r="Q129" i="48"/>
  <c r="O129" i="48"/>
  <c r="M129" i="48"/>
  <c r="K129" i="48"/>
  <c r="X128" i="48"/>
  <c r="W128" i="48"/>
  <c r="V128" i="48"/>
  <c r="U128" i="48"/>
  <c r="T128" i="48"/>
  <c r="S128" i="48"/>
  <c r="Q128" i="48"/>
  <c r="O128" i="48"/>
  <c r="M128" i="48"/>
  <c r="K128" i="48"/>
  <c r="X127" i="48"/>
  <c r="W127" i="48"/>
  <c r="V127" i="48"/>
  <c r="U127" i="48"/>
  <c r="T127" i="48"/>
  <c r="S127" i="48"/>
  <c r="Q127" i="48"/>
  <c r="O127" i="48"/>
  <c r="M127" i="48"/>
  <c r="K127" i="48"/>
  <c r="X126" i="48"/>
  <c r="W126" i="48"/>
  <c r="V126" i="48"/>
  <c r="U126" i="48"/>
  <c r="T126" i="48"/>
  <c r="S126" i="48"/>
  <c r="Q126" i="48"/>
  <c r="O126" i="48"/>
  <c r="M126" i="48"/>
  <c r="K126" i="48"/>
  <c r="X125" i="48"/>
  <c r="W125" i="48"/>
  <c r="V125" i="48"/>
  <c r="U125" i="48"/>
  <c r="T125" i="48"/>
  <c r="S125" i="48"/>
  <c r="Q125" i="48"/>
  <c r="O125" i="48"/>
  <c r="M125" i="48"/>
  <c r="K125" i="48"/>
  <c r="X124" i="48"/>
  <c r="W124" i="48"/>
  <c r="V124" i="48"/>
  <c r="U124" i="48"/>
  <c r="T124" i="48"/>
  <c r="S124" i="48"/>
  <c r="Q124" i="48"/>
  <c r="O124" i="48"/>
  <c r="M124" i="48"/>
  <c r="K124" i="48"/>
  <c r="X123" i="48"/>
  <c r="W123" i="48"/>
  <c r="V123" i="48"/>
  <c r="U123" i="48"/>
  <c r="T123" i="48"/>
  <c r="S123" i="48"/>
  <c r="Q123" i="48"/>
  <c r="O123" i="48"/>
  <c r="M123" i="48"/>
  <c r="K123" i="48"/>
  <c r="X122" i="48"/>
  <c r="W122" i="48"/>
  <c r="V122" i="48"/>
  <c r="U122" i="48"/>
  <c r="T122" i="48"/>
  <c r="S122" i="48"/>
  <c r="Q122" i="48"/>
  <c r="O122" i="48"/>
  <c r="M122" i="48"/>
  <c r="K122" i="48"/>
  <c r="X121" i="48"/>
  <c r="W121" i="48"/>
  <c r="V121" i="48"/>
  <c r="U121" i="48"/>
  <c r="T121" i="48"/>
  <c r="S121" i="48"/>
  <c r="Q121" i="48"/>
  <c r="O121" i="48"/>
  <c r="M121" i="48"/>
  <c r="K121" i="48"/>
  <c r="X120" i="48"/>
  <c r="W120" i="48"/>
  <c r="V120" i="48"/>
  <c r="U120" i="48"/>
  <c r="T120" i="48"/>
  <c r="S120" i="48"/>
  <c r="Q120" i="48"/>
  <c r="O120" i="48"/>
  <c r="M120" i="48"/>
  <c r="K120" i="48"/>
  <c r="X119" i="48"/>
  <c r="W119" i="48"/>
  <c r="V119" i="48"/>
  <c r="U119" i="48"/>
  <c r="T119" i="48"/>
  <c r="S119" i="48"/>
  <c r="Q119" i="48"/>
  <c r="O119" i="48"/>
  <c r="M119" i="48"/>
  <c r="K119" i="48"/>
  <c r="X118" i="48"/>
  <c r="W118" i="48"/>
  <c r="V118" i="48"/>
  <c r="U118" i="48"/>
  <c r="T118" i="48"/>
  <c r="S118" i="48"/>
  <c r="Q118" i="48"/>
  <c r="O118" i="48"/>
  <c r="M118" i="48"/>
  <c r="K118" i="48"/>
  <c r="X117" i="48"/>
  <c r="W117" i="48"/>
  <c r="V117" i="48"/>
  <c r="U117" i="48"/>
  <c r="T117" i="48"/>
  <c r="S117" i="48"/>
  <c r="Q117" i="48"/>
  <c r="O117" i="48"/>
  <c r="M117" i="48"/>
  <c r="K117" i="48"/>
  <c r="X116" i="48"/>
  <c r="W116" i="48"/>
  <c r="V116" i="48"/>
  <c r="U116" i="48"/>
  <c r="T116" i="48"/>
  <c r="S116" i="48"/>
  <c r="Q116" i="48"/>
  <c r="O116" i="48"/>
  <c r="M116" i="48"/>
  <c r="K116" i="48"/>
  <c r="X115" i="48"/>
  <c r="W115" i="48"/>
  <c r="V115" i="48"/>
  <c r="U115" i="48"/>
  <c r="T115" i="48"/>
  <c r="S115" i="48"/>
  <c r="Q115" i="48"/>
  <c r="O115" i="48"/>
  <c r="M115" i="48"/>
  <c r="K115" i="48"/>
  <c r="X114" i="48"/>
  <c r="W114" i="48"/>
  <c r="V114" i="48"/>
  <c r="U114" i="48"/>
  <c r="T114" i="48"/>
  <c r="S114" i="48"/>
  <c r="Q114" i="48"/>
  <c r="O114" i="48"/>
  <c r="M114" i="48"/>
  <c r="K114" i="48"/>
  <c r="X113" i="48"/>
  <c r="W113" i="48"/>
  <c r="V113" i="48"/>
  <c r="U113" i="48"/>
  <c r="T113" i="48"/>
  <c r="S113" i="48"/>
  <c r="Q113" i="48"/>
  <c r="O113" i="48"/>
  <c r="M113" i="48"/>
  <c r="K113" i="48"/>
  <c r="X112" i="48"/>
  <c r="W112" i="48"/>
  <c r="V112" i="48"/>
  <c r="U112" i="48"/>
  <c r="T112" i="48"/>
  <c r="S112" i="48"/>
  <c r="Q112" i="48"/>
  <c r="O112" i="48"/>
  <c r="M112" i="48"/>
  <c r="K112" i="48"/>
  <c r="X111" i="48"/>
  <c r="W111" i="48"/>
  <c r="V111" i="48"/>
  <c r="U111" i="48"/>
  <c r="T111" i="48"/>
  <c r="S111" i="48"/>
  <c r="Q111" i="48"/>
  <c r="O111" i="48"/>
  <c r="M111" i="48"/>
  <c r="K111" i="48"/>
  <c r="X110" i="48"/>
  <c r="W110" i="48"/>
  <c r="V110" i="48"/>
  <c r="U110" i="48"/>
  <c r="T110" i="48"/>
  <c r="S110" i="48"/>
  <c r="Q110" i="48"/>
  <c r="O110" i="48"/>
  <c r="M110" i="48"/>
  <c r="K110" i="48"/>
  <c r="X109" i="48"/>
  <c r="W109" i="48"/>
  <c r="V109" i="48"/>
  <c r="U109" i="48"/>
  <c r="T109" i="48"/>
  <c r="S109" i="48"/>
  <c r="Q109" i="48"/>
  <c r="O109" i="48"/>
  <c r="M109" i="48"/>
  <c r="K109" i="48"/>
  <c r="X108" i="48"/>
  <c r="W108" i="48"/>
  <c r="V108" i="48"/>
  <c r="U108" i="48"/>
  <c r="T108" i="48"/>
  <c r="S108" i="48"/>
  <c r="Q108" i="48"/>
  <c r="O108" i="48"/>
  <c r="M108" i="48"/>
  <c r="K108" i="48"/>
  <c r="X107" i="48"/>
  <c r="W107" i="48"/>
  <c r="V107" i="48"/>
  <c r="U107" i="48"/>
  <c r="T107" i="48"/>
  <c r="S107" i="48"/>
  <c r="Q107" i="48"/>
  <c r="O107" i="48"/>
  <c r="M107" i="48"/>
  <c r="K107" i="48"/>
  <c r="X106" i="48"/>
  <c r="W106" i="48"/>
  <c r="V106" i="48"/>
  <c r="U106" i="48"/>
  <c r="T106" i="48"/>
  <c r="S106" i="48"/>
  <c r="Q106" i="48"/>
  <c r="O106" i="48"/>
  <c r="M106" i="48"/>
  <c r="K106" i="48"/>
  <c r="X105" i="48"/>
  <c r="W105" i="48"/>
  <c r="V105" i="48"/>
  <c r="U105" i="48"/>
  <c r="T105" i="48"/>
  <c r="S105" i="48"/>
  <c r="Q105" i="48"/>
  <c r="O105" i="48"/>
  <c r="M105" i="48"/>
  <c r="K105" i="48"/>
  <c r="X104" i="48"/>
  <c r="W104" i="48"/>
  <c r="V104" i="48"/>
  <c r="U104" i="48"/>
  <c r="T104" i="48"/>
  <c r="S104" i="48"/>
  <c r="Q104" i="48"/>
  <c r="O104" i="48"/>
  <c r="M104" i="48"/>
  <c r="K104" i="48"/>
  <c r="X103" i="48"/>
  <c r="W103" i="48"/>
  <c r="V103" i="48"/>
  <c r="U103" i="48"/>
  <c r="T103" i="48"/>
  <c r="S103" i="48"/>
  <c r="Q103" i="48"/>
  <c r="O103" i="48"/>
  <c r="M103" i="48"/>
  <c r="K103" i="48"/>
  <c r="X102" i="48"/>
  <c r="W102" i="48"/>
  <c r="V102" i="48"/>
  <c r="U102" i="48"/>
  <c r="T102" i="48"/>
  <c r="S102" i="48"/>
  <c r="Q102" i="48"/>
  <c r="O102" i="48"/>
  <c r="M102" i="48"/>
  <c r="K102" i="48"/>
  <c r="X101" i="48"/>
  <c r="W101" i="48"/>
  <c r="V101" i="48"/>
  <c r="U101" i="48"/>
  <c r="T101" i="48"/>
  <c r="S101" i="48"/>
  <c r="Q101" i="48"/>
  <c r="O101" i="48"/>
  <c r="M101" i="48"/>
  <c r="K101" i="48"/>
  <c r="X100" i="48"/>
  <c r="W100" i="48"/>
  <c r="V100" i="48"/>
  <c r="U100" i="48"/>
  <c r="T100" i="48"/>
  <c r="S100" i="48"/>
  <c r="Q100" i="48"/>
  <c r="O100" i="48"/>
  <c r="M100" i="48"/>
  <c r="K100" i="48"/>
  <c r="X99" i="48"/>
  <c r="W99" i="48"/>
  <c r="V99" i="48"/>
  <c r="U99" i="48"/>
  <c r="T99" i="48"/>
  <c r="S99" i="48"/>
  <c r="Q99" i="48"/>
  <c r="O99" i="48"/>
  <c r="M99" i="48"/>
  <c r="K99" i="48"/>
  <c r="X98" i="48"/>
  <c r="W98" i="48"/>
  <c r="V98" i="48"/>
  <c r="U98" i="48"/>
  <c r="T98" i="48"/>
  <c r="S98" i="48"/>
  <c r="Q98" i="48"/>
  <c r="O98" i="48"/>
  <c r="M98" i="48"/>
  <c r="K98" i="48"/>
  <c r="X97" i="48"/>
  <c r="W97" i="48"/>
  <c r="V97" i="48"/>
  <c r="U97" i="48"/>
  <c r="T97" i="48"/>
  <c r="S97" i="48"/>
  <c r="Q97" i="48"/>
  <c r="O97" i="48"/>
  <c r="M97" i="48"/>
  <c r="K97" i="48"/>
  <c r="X96" i="48"/>
  <c r="W96" i="48"/>
  <c r="V96" i="48"/>
  <c r="U96" i="48"/>
  <c r="T96" i="48"/>
  <c r="S96" i="48"/>
  <c r="Q96" i="48"/>
  <c r="O96" i="48"/>
  <c r="M96" i="48"/>
  <c r="K96" i="48"/>
  <c r="X95" i="48"/>
  <c r="W95" i="48"/>
  <c r="V95" i="48"/>
  <c r="U95" i="48"/>
  <c r="T95" i="48"/>
  <c r="S95" i="48"/>
  <c r="Q95" i="48"/>
  <c r="O95" i="48"/>
  <c r="M95" i="48"/>
  <c r="K95" i="48"/>
  <c r="X94" i="48"/>
  <c r="W94" i="48"/>
  <c r="V94" i="48"/>
  <c r="U94" i="48"/>
  <c r="T94" i="48"/>
  <c r="S94" i="48"/>
  <c r="Q94" i="48"/>
  <c r="O94" i="48"/>
  <c r="M94" i="48"/>
  <c r="K94" i="48"/>
  <c r="X93" i="48"/>
  <c r="W93" i="48"/>
  <c r="V93" i="48"/>
  <c r="U93" i="48"/>
  <c r="T93" i="48"/>
  <c r="S93" i="48"/>
  <c r="Q93" i="48"/>
  <c r="O93" i="48"/>
  <c r="M93" i="48"/>
  <c r="K93" i="48"/>
  <c r="X92" i="48"/>
  <c r="W92" i="48"/>
  <c r="V92" i="48"/>
  <c r="U92" i="48"/>
  <c r="T92" i="48"/>
  <c r="S92" i="48"/>
  <c r="Q92" i="48"/>
  <c r="O92" i="48"/>
  <c r="M92" i="48"/>
  <c r="K92" i="48"/>
  <c r="X91" i="48"/>
  <c r="W91" i="48"/>
  <c r="V91" i="48"/>
  <c r="U91" i="48"/>
  <c r="T91" i="48"/>
  <c r="S91" i="48"/>
  <c r="Q91" i="48"/>
  <c r="O91" i="48"/>
  <c r="M91" i="48"/>
  <c r="K91" i="48"/>
  <c r="X90" i="48"/>
  <c r="W90" i="48"/>
  <c r="V90" i="48"/>
  <c r="U90" i="48"/>
  <c r="T90" i="48"/>
  <c r="S90" i="48"/>
  <c r="Q90" i="48"/>
  <c r="O90" i="48"/>
  <c r="M90" i="48"/>
  <c r="K90" i="48"/>
  <c r="X89" i="48"/>
  <c r="W89" i="48"/>
  <c r="V89" i="48"/>
  <c r="U89" i="48"/>
  <c r="T89" i="48"/>
  <c r="S89" i="48"/>
  <c r="Q89" i="48"/>
  <c r="O89" i="48"/>
  <c r="M89" i="48"/>
  <c r="K89" i="48"/>
  <c r="X88" i="48"/>
  <c r="W88" i="48"/>
  <c r="V88" i="48"/>
  <c r="U88" i="48"/>
  <c r="T88" i="48"/>
  <c r="S88" i="48"/>
  <c r="Q88" i="48"/>
  <c r="O88" i="48"/>
  <c r="M88" i="48"/>
  <c r="K88" i="48"/>
  <c r="X87" i="48"/>
  <c r="W87" i="48"/>
  <c r="V87" i="48"/>
  <c r="U87" i="48"/>
  <c r="T87" i="48"/>
  <c r="S87" i="48"/>
  <c r="Q87" i="48"/>
  <c r="O87" i="48"/>
  <c r="M87" i="48"/>
  <c r="K87" i="48"/>
  <c r="X86" i="48"/>
  <c r="W86" i="48"/>
  <c r="V86" i="48"/>
  <c r="U86" i="48"/>
  <c r="T86" i="48"/>
  <c r="S86" i="48"/>
  <c r="Q86" i="48"/>
  <c r="O86" i="48"/>
  <c r="M86" i="48"/>
  <c r="K86" i="48"/>
  <c r="X85" i="48"/>
  <c r="W85" i="48"/>
  <c r="V85" i="48"/>
  <c r="U85" i="48"/>
  <c r="T85" i="48"/>
  <c r="S85" i="48"/>
  <c r="Q85" i="48"/>
  <c r="O85" i="48"/>
  <c r="M85" i="48"/>
  <c r="K85" i="48"/>
  <c r="X84" i="48"/>
  <c r="W84" i="48"/>
  <c r="V84" i="48"/>
  <c r="U84" i="48"/>
  <c r="T84" i="48"/>
  <c r="S84" i="48"/>
  <c r="Q84" i="48"/>
  <c r="O84" i="48"/>
  <c r="M84" i="48"/>
  <c r="K84" i="48"/>
  <c r="X83" i="48"/>
  <c r="W83" i="48"/>
  <c r="V83" i="48"/>
  <c r="U83" i="48"/>
  <c r="T83" i="48"/>
  <c r="S83" i="48"/>
  <c r="Q83" i="48"/>
  <c r="O83" i="48"/>
  <c r="M83" i="48"/>
  <c r="K83" i="48"/>
  <c r="X82" i="48"/>
  <c r="W82" i="48"/>
  <c r="V82" i="48"/>
  <c r="U82" i="48"/>
  <c r="T82" i="48"/>
  <c r="S82" i="48"/>
  <c r="Q82" i="48"/>
  <c r="O82" i="48"/>
  <c r="M82" i="48"/>
  <c r="K82" i="48"/>
  <c r="X81" i="48"/>
  <c r="W81" i="48"/>
  <c r="V81" i="48"/>
  <c r="U81" i="48"/>
  <c r="T81" i="48"/>
  <c r="S81" i="48"/>
  <c r="Q81" i="48"/>
  <c r="O81" i="48"/>
  <c r="M81" i="48"/>
  <c r="K81" i="48"/>
  <c r="X80" i="48"/>
  <c r="W80" i="48"/>
  <c r="V80" i="48"/>
  <c r="U80" i="48"/>
  <c r="T80" i="48"/>
  <c r="S80" i="48"/>
  <c r="Q80" i="48"/>
  <c r="O80" i="48"/>
  <c r="M80" i="48"/>
  <c r="K80" i="48"/>
  <c r="X79" i="48"/>
  <c r="W79" i="48"/>
  <c r="V79" i="48"/>
  <c r="U79" i="48"/>
  <c r="T79" i="48"/>
  <c r="S79" i="48"/>
  <c r="Q79" i="48"/>
  <c r="O79" i="48"/>
  <c r="M79" i="48"/>
  <c r="K79" i="48"/>
  <c r="X78" i="48"/>
  <c r="W78" i="48"/>
  <c r="V78" i="48"/>
  <c r="U78" i="48"/>
  <c r="T78" i="48"/>
  <c r="S78" i="48"/>
  <c r="Q78" i="48"/>
  <c r="O78" i="48"/>
  <c r="M78" i="48"/>
  <c r="K78" i="48"/>
  <c r="X77" i="48"/>
  <c r="W77" i="48"/>
  <c r="V77" i="48"/>
  <c r="U77" i="48"/>
  <c r="T77" i="48"/>
  <c r="S77" i="48"/>
  <c r="Q77" i="48"/>
  <c r="O77" i="48"/>
  <c r="M77" i="48"/>
  <c r="K77" i="48"/>
  <c r="X76" i="48"/>
  <c r="W76" i="48"/>
  <c r="V76" i="48"/>
  <c r="U76" i="48"/>
  <c r="T76" i="48"/>
  <c r="S76" i="48"/>
  <c r="Q76" i="48"/>
  <c r="O76" i="48"/>
  <c r="M76" i="48"/>
  <c r="K76" i="48"/>
  <c r="X75" i="48"/>
  <c r="W75" i="48"/>
  <c r="V75" i="48"/>
  <c r="U75" i="48"/>
  <c r="T75" i="48"/>
  <c r="S75" i="48"/>
  <c r="Q75" i="48"/>
  <c r="O75" i="48"/>
  <c r="M75" i="48"/>
  <c r="K75" i="48"/>
  <c r="X74" i="48"/>
  <c r="W74" i="48"/>
  <c r="V74" i="48"/>
  <c r="U74" i="48"/>
  <c r="T74" i="48"/>
  <c r="S74" i="48"/>
  <c r="Q74" i="48"/>
  <c r="O74" i="48"/>
  <c r="M74" i="48"/>
  <c r="K74" i="48"/>
  <c r="X73" i="48"/>
  <c r="W73" i="48"/>
  <c r="V73" i="48"/>
  <c r="U73" i="48"/>
  <c r="T73" i="48"/>
  <c r="S73" i="48"/>
  <c r="Q73" i="48"/>
  <c r="O73" i="48"/>
  <c r="M73" i="48"/>
  <c r="K73" i="48"/>
  <c r="X72" i="48"/>
  <c r="W72" i="48"/>
  <c r="V72" i="48"/>
  <c r="U72" i="48"/>
  <c r="T72" i="48"/>
  <c r="S72" i="48"/>
  <c r="Q72" i="48"/>
  <c r="O72" i="48"/>
  <c r="M72" i="48"/>
  <c r="K72" i="48"/>
  <c r="X71" i="48"/>
  <c r="W71" i="48"/>
  <c r="V71" i="48"/>
  <c r="U71" i="48"/>
  <c r="T71" i="48"/>
  <c r="S71" i="48"/>
  <c r="Q71" i="48"/>
  <c r="O71" i="48"/>
  <c r="M71" i="48"/>
  <c r="K71" i="48"/>
  <c r="X70" i="48"/>
  <c r="W70" i="48"/>
  <c r="V70" i="48"/>
  <c r="U70" i="48"/>
  <c r="T70" i="48"/>
  <c r="S70" i="48"/>
  <c r="Q70" i="48"/>
  <c r="O70" i="48"/>
  <c r="M70" i="48"/>
  <c r="K70" i="48"/>
  <c r="X69" i="48"/>
  <c r="W69" i="48"/>
  <c r="V69" i="48"/>
  <c r="U69" i="48"/>
  <c r="T69" i="48"/>
  <c r="S69" i="48"/>
  <c r="Q69" i="48"/>
  <c r="O69" i="48"/>
  <c r="M69" i="48"/>
  <c r="K69" i="48"/>
  <c r="X68" i="48"/>
  <c r="W68" i="48"/>
  <c r="V68" i="48"/>
  <c r="U68" i="48"/>
  <c r="T68" i="48"/>
  <c r="S68" i="48"/>
  <c r="Q68" i="48"/>
  <c r="O68" i="48"/>
  <c r="M68" i="48"/>
  <c r="K68" i="48"/>
  <c r="X67" i="48"/>
  <c r="W67" i="48"/>
  <c r="V67" i="48"/>
  <c r="U67" i="48"/>
  <c r="T67" i="48"/>
  <c r="S67" i="48"/>
  <c r="Q67" i="48"/>
  <c r="O67" i="48"/>
  <c r="M67" i="48"/>
  <c r="K67" i="48"/>
  <c r="X66" i="48"/>
  <c r="W66" i="48"/>
  <c r="V66" i="48"/>
  <c r="U66" i="48"/>
  <c r="T66" i="48"/>
  <c r="S66" i="48"/>
  <c r="Q66" i="48"/>
  <c r="O66" i="48"/>
  <c r="M66" i="48"/>
  <c r="K66" i="48"/>
  <c r="X65" i="48"/>
  <c r="W65" i="48"/>
  <c r="V65" i="48"/>
  <c r="U65" i="48"/>
  <c r="T65" i="48"/>
  <c r="S65" i="48"/>
  <c r="Q65" i="48"/>
  <c r="O65" i="48"/>
  <c r="M65" i="48"/>
  <c r="K65" i="48"/>
  <c r="X64" i="48"/>
  <c r="W64" i="48"/>
  <c r="V64" i="48"/>
  <c r="U64" i="48"/>
  <c r="T64" i="48"/>
  <c r="S64" i="48"/>
  <c r="Q64" i="48"/>
  <c r="O64" i="48"/>
  <c r="M64" i="48"/>
  <c r="K64" i="48"/>
  <c r="X63" i="48"/>
  <c r="W63" i="48"/>
  <c r="V63" i="48"/>
  <c r="U63" i="48"/>
  <c r="T63" i="48"/>
  <c r="S63" i="48"/>
  <c r="Q63" i="48"/>
  <c r="O63" i="48"/>
  <c r="M63" i="48"/>
  <c r="K63" i="48"/>
  <c r="X62" i="48"/>
  <c r="W62" i="48"/>
  <c r="V62" i="48"/>
  <c r="U62" i="48"/>
  <c r="T62" i="48"/>
  <c r="S62" i="48"/>
  <c r="Q62" i="48"/>
  <c r="O62" i="48"/>
  <c r="M62" i="48"/>
  <c r="K62" i="48"/>
  <c r="X61" i="48"/>
  <c r="W61" i="48"/>
  <c r="V61" i="48"/>
  <c r="U61" i="48"/>
  <c r="T61" i="48"/>
  <c r="S61" i="48"/>
  <c r="Q61" i="48"/>
  <c r="O61" i="48"/>
  <c r="M61" i="48"/>
  <c r="K61" i="48"/>
  <c r="X60" i="48"/>
  <c r="W60" i="48"/>
  <c r="V60" i="48"/>
  <c r="U60" i="48"/>
  <c r="T60" i="48"/>
  <c r="S60" i="48"/>
  <c r="Q60" i="48"/>
  <c r="O60" i="48"/>
  <c r="M60" i="48"/>
  <c r="K60" i="48"/>
  <c r="X59" i="48"/>
  <c r="W59" i="48"/>
  <c r="V59" i="48"/>
  <c r="U59" i="48"/>
  <c r="T59" i="48"/>
  <c r="S59" i="48"/>
  <c r="Q59" i="48"/>
  <c r="O59" i="48"/>
  <c r="M59" i="48"/>
  <c r="K59" i="48"/>
  <c r="X58" i="48"/>
  <c r="W58" i="48"/>
  <c r="V58" i="48"/>
  <c r="U58" i="48"/>
  <c r="T58" i="48"/>
  <c r="S58" i="48"/>
  <c r="Q58" i="48"/>
  <c r="O58" i="48"/>
  <c r="M58" i="48"/>
  <c r="K58" i="48"/>
  <c r="X57" i="48"/>
  <c r="W57" i="48"/>
  <c r="V57" i="48"/>
  <c r="U57" i="48"/>
  <c r="T57" i="48"/>
  <c r="S57" i="48"/>
  <c r="Q57" i="48"/>
  <c r="O57" i="48"/>
  <c r="M57" i="48"/>
  <c r="K57" i="48"/>
  <c r="X56" i="48"/>
  <c r="W56" i="48"/>
  <c r="V56" i="48"/>
  <c r="U56" i="48"/>
  <c r="T56" i="48"/>
  <c r="S56" i="48"/>
  <c r="Q56" i="48"/>
  <c r="O56" i="48"/>
  <c r="M56" i="48"/>
  <c r="K56" i="48"/>
  <c r="X55" i="48"/>
  <c r="W55" i="48"/>
  <c r="V55" i="48"/>
  <c r="U55" i="48"/>
  <c r="T55" i="48"/>
  <c r="S55" i="48"/>
  <c r="Q55" i="48"/>
  <c r="O55" i="48"/>
  <c r="M55" i="48"/>
  <c r="K55" i="48"/>
  <c r="X54" i="48"/>
  <c r="W54" i="48"/>
  <c r="V54" i="48"/>
  <c r="U54" i="48"/>
  <c r="T54" i="48"/>
  <c r="S54" i="48"/>
  <c r="Q54" i="48"/>
  <c r="O54" i="48"/>
  <c r="M54" i="48"/>
  <c r="K54" i="48"/>
  <c r="X53" i="48"/>
  <c r="W53" i="48"/>
  <c r="V53" i="48"/>
  <c r="U53" i="48"/>
  <c r="T53" i="48"/>
  <c r="S53" i="48"/>
  <c r="Q53" i="48"/>
  <c r="O53" i="48"/>
  <c r="M53" i="48"/>
  <c r="K53" i="48"/>
  <c r="X52" i="48"/>
  <c r="W52" i="48"/>
  <c r="V52" i="48"/>
  <c r="U52" i="48"/>
  <c r="T52" i="48"/>
  <c r="S52" i="48"/>
  <c r="Q52" i="48"/>
  <c r="O52" i="48"/>
  <c r="M52" i="48"/>
  <c r="K52" i="48"/>
  <c r="X51" i="48"/>
  <c r="W51" i="48"/>
  <c r="V51" i="48"/>
  <c r="U51" i="48"/>
  <c r="T51" i="48"/>
  <c r="S51" i="48"/>
  <c r="Q51" i="48"/>
  <c r="O51" i="48"/>
  <c r="M51" i="48"/>
  <c r="K51" i="48"/>
  <c r="X50" i="48"/>
  <c r="W50" i="48"/>
  <c r="V50" i="48"/>
  <c r="U50" i="48"/>
  <c r="T50" i="48"/>
  <c r="S50" i="48"/>
  <c r="Q50" i="48"/>
  <c r="O50" i="48"/>
  <c r="M50" i="48"/>
  <c r="K50" i="48"/>
  <c r="X49" i="48"/>
  <c r="W49" i="48"/>
  <c r="V49" i="48"/>
  <c r="U49" i="48"/>
  <c r="T49" i="48"/>
  <c r="S49" i="48"/>
  <c r="Q49" i="48"/>
  <c r="O49" i="48"/>
  <c r="M49" i="48"/>
  <c r="K49" i="48"/>
  <c r="X48" i="48"/>
  <c r="W48" i="48"/>
  <c r="V48" i="48"/>
  <c r="U48" i="48"/>
  <c r="T48" i="48"/>
  <c r="S48" i="48"/>
  <c r="Q48" i="48"/>
  <c r="O48" i="48"/>
  <c r="M48" i="48"/>
  <c r="K48" i="48"/>
  <c r="X47" i="48"/>
  <c r="W47" i="48"/>
  <c r="V47" i="48"/>
  <c r="U47" i="48"/>
  <c r="T47" i="48"/>
  <c r="S47" i="48"/>
  <c r="Q47" i="48"/>
  <c r="O47" i="48"/>
  <c r="M47" i="48"/>
  <c r="K47" i="48"/>
  <c r="X46" i="48"/>
  <c r="W46" i="48"/>
  <c r="V46" i="48"/>
  <c r="U46" i="48"/>
  <c r="T46" i="48"/>
  <c r="S46" i="48"/>
  <c r="Q46" i="48"/>
  <c r="O46" i="48"/>
  <c r="M46" i="48"/>
  <c r="K46" i="48"/>
  <c r="X45" i="48"/>
  <c r="W45" i="48"/>
  <c r="V45" i="48"/>
  <c r="U45" i="48"/>
  <c r="T45" i="48"/>
  <c r="S45" i="48"/>
  <c r="Q45" i="48"/>
  <c r="O45" i="48"/>
  <c r="M45" i="48"/>
  <c r="K45" i="48"/>
  <c r="X44" i="48"/>
  <c r="W44" i="48"/>
  <c r="V44" i="48"/>
  <c r="U44" i="48"/>
  <c r="T44" i="48"/>
  <c r="S44" i="48"/>
  <c r="Q44" i="48"/>
  <c r="O44" i="48"/>
  <c r="M44" i="48"/>
  <c r="K44" i="48"/>
  <c r="X43" i="48"/>
  <c r="W43" i="48"/>
  <c r="V43" i="48"/>
  <c r="U43" i="48"/>
  <c r="T43" i="48"/>
  <c r="S43" i="48"/>
  <c r="Q43" i="48"/>
  <c r="O43" i="48"/>
  <c r="M43" i="48"/>
  <c r="K43" i="48"/>
  <c r="X42" i="48"/>
  <c r="W42" i="48"/>
  <c r="V42" i="48"/>
  <c r="U42" i="48"/>
  <c r="T42" i="48"/>
  <c r="S42" i="48"/>
  <c r="Q42" i="48"/>
  <c r="O42" i="48"/>
  <c r="M42" i="48"/>
  <c r="K42" i="48"/>
  <c r="X41" i="48"/>
  <c r="W41" i="48"/>
  <c r="V41" i="48"/>
  <c r="U41" i="48"/>
  <c r="T41" i="48"/>
  <c r="S41" i="48"/>
  <c r="Q41" i="48"/>
  <c r="O41" i="48"/>
  <c r="M41" i="48"/>
  <c r="K41" i="48"/>
  <c r="X40" i="48"/>
  <c r="W40" i="48"/>
  <c r="V40" i="48"/>
  <c r="U40" i="48"/>
  <c r="T40" i="48"/>
  <c r="S40" i="48"/>
  <c r="Q40" i="48"/>
  <c r="O40" i="48"/>
  <c r="M40" i="48"/>
  <c r="K40" i="48"/>
  <c r="X39" i="48"/>
  <c r="W39" i="48"/>
  <c r="V39" i="48"/>
  <c r="U39" i="48"/>
  <c r="T39" i="48"/>
  <c r="S39" i="48"/>
  <c r="Q39" i="48"/>
  <c r="O39" i="48"/>
  <c r="M39" i="48"/>
  <c r="K39" i="48"/>
  <c r="X38" i="48"/>
  <c r="W38" i="48"/>
  <c r="V38" i="48"/>
  <c r="U38" i="48"/>
  <c r="T38" i="48"/>
  <c r="S38" i="48"/>
  <c r="Q38" i="48"/>
  <c r="O38" i="48"/>
  <c r="M38" i="48"/>
  <c r="K38" i="48"/>
  <c r="X37" i="48"/>
  <c r="W37" i="48"/>
  <c r="V37" i="48"/>
  <c r="U37" i="48"/>
  <c r="T37" i="48"/>
  <c r="S37" i="48"/>
  <c r="Q37" i="48"/>
  <c r="O37" i="48"/>
  <c r="M37" i="48"/>
  <c r="K37" i="48"/>
  <c r="X36" i="48"/>
  <c r="W36" i="48"/>
  <c r="V36" i="48"/>
  <c r="U36" i="48"/>
  <c r="T36" i="48"/>
  <c r="S36" i="48"/>
  <c r="Q36" i="48"/>
  <c r="O36" i="48"/>
  <c r="M36" i="48"/>
  <c r="K36" i="48"/>
  <c r="X35" i="48"/>
  <c r="W35" i="48"/>
  <c r="V35" i="48"/>
  <c r="U35" i="48"/>
  <c r="T35" i="48"/>
  <c r="S35" i="48"/>
  <c r="Q35" i="48"/>
  <c r="O35" i="48"/>
  <c r="M35" i="48"/>
  <c r="K35" i="48"/>
  <c r="X34" i="48"/>
  <c r="W34" i="48"/>
  <c r="V34" i="48"/>
  <c r="U34" i="48"/>
  <c r="T34" i="48"/>
  <c r="S34" i="48"/>
  <c r="Q34" i="48"/>
  <c r="O34" i="48"/>
  <c r="M34" i="48"/>
  <c r="K34" i="48"/>
  <c r="X33" i="48"/>
  <c r="W33" i="48"/>
  <c r="V33" i="48"/>
  <c r="U33" i="48"/>
  <c r="T33" i="48"/>
  <c r="S33" i="48"/>
  <c r="Q33" i="48"/>
  <c r="O33" i="48"/>
  <c r="M33" i="48"/>
  <c r="K33" i="48"/>
  <c r="X32" i="48"/>
  <c r="W32" i="48"/>
  <c r="V32" i="48"/>
  <c r="U32" i="48"/>
  <c r="T32" i="48"/>
  <c r="S32" i="48"/>
  <c r="Q32" i="48"/>
  <c r="O32" i="48"/>
  <c r="M32" i="48"/>
  <c r="K32" i="48"/>
  <c r="X31" i="48"/>
  <c r="W31" i="48"/>
  <c r="V31" i="48"/>
  <c r="U31" i="48"/>
  <c r="T31" i="48"/>
  <c r="S31" i="48"/>
  <c r="Q31" i="48"/>
  <c r="O31" i="48"/>
  <c r="M31" i="48"/>
  <c r="K31" i="48"/>
  <c r="X30" i="48"/>
  <c r="W30" i="48"/>
  <c r="V30" i="48"/>
  <c r="U30" i="48"/>
  <c r="T30" i="48"/>
  <c r="S30" i="48"/>
  <c r="Q30" i="48"/>
  <c r="O30" i="48"/>
  <c r="M30" i="48"/>
  <c r="K30" i="48"/>
  <c r="X29" i="48"/>
  <c r="W29" i="48"/>
  <c r="V29" i="48"/>
  <c r="U29" i="48"/>
  <c r="T29" i="48"/>
  <c r="S29" i="48"/>
  <c r="Q29" i="48"/>
  <c r="O29" i="48"/>
  <c r="M29" i="48"/>
  <c r="K29" i="48"/>
  <c r="X28" i="48"/>
  <c r="W28" i="48"/>
  <c r="V28" i="48"/>
  <c r="U28" i="48"/>
  <c r="T28" i="48"/>
  <c r="S28" i="48"/>
  <c r="Q28" i="48"/>
  <c r="O28" i="48"/>
  <c r="M28" i="48"/>
  <c r="K28" i="48"/>
  <c r="X27" i="48"/>
  <c r="W27" i="48"/>
  <c r="V27" i="48"/>
  <c r="U27" i="48"/>
  <c r="T27" i="48"/>
  <c r="S27" i="48"/>
  <c r="Q27" i="48"/>
  <c r="O27" i="48"/>
  <c r="M27" i="48"/>
  <c r="K27" i="48"/>
  <c r="X26" i="48"/>
  <c r="W26" i="48"/>
  <c r="V26" i="48"/>
  <c r="U26" i="48"/>
  <c r="T26" i="48"/>
  <c r="S26" i="48"/>
  <c r="Q26" i="48"/>
  <c r="O26" i="48"/>
  <c r="M26" i="48"/>
  <c r="K26" i="48"/>
  <c r="X25" i="48"/>
  <c r="W25" i="48"/>
  <c r="V25" i="48"/>
  <c r="U25" i="48"/>
  <c r="T25" i="48"/>
  <c r="S25" i="48"/>
  <c r="Q25" i="48"/>
  <c r="O25" i="48"/>
  <c r="M25" i="48"/>
  <c r="K25" i="48"/>
  <c r="X24" i="48"/>
  <c r="W24" i="48"/>
  <c r="V24" i="48"/>
  <c r="U24" i="48"/>
  <c r="T24" i="48"/>
  <c r="S24" i="48"/>
  <c r="Q24" i="48"/>
  <c r="O24" i="48"/>
  <c r="M24" i="48"/>
  <c r="K24" i="48"/>
  <c r="X23" i="48"/>
  <c r="W23" i="48"/>
  <c r="V23" i="48"/>
  <c r="U23" i="48"/>
  <c r="T23" i="48"/>
  <c r="S23" i="48"/>
  <c r="Q23" i="48"/>
  <c r="O23" i="48"/>
  <c r="M23" i="48"/>
  <c r="K23" i="48"/>
  <c r="X22" i="48"/>
  <c r="W22" i="48"/>
  <c r="V22" i="48"/>
  <c r="U22" i="48"/>
  <c r="T22" i="48"/>
  <c r="S22" i="48"/>
  <c r="Q22" i="48"/>
  <c r="O22" i="48"/>
  <c r="M22" i="48"/>
  <c r="K22" i="48"/>
  <c r="X21" i="48"/>
  <c r="W21" i="48"/>
  <c r="V21" i="48"/>
  <c r="U21" i="48"/>
  <c r="T21" i="48"/>
  <c r="S21" i="48"/>
  <c r="Q21" i="48"/>
  <c r="O21" i="48"/>
  <c r="M21" i="48"/>
  <c r="K21" i="48"/>
  <c r="X20" i="48"/>
  <c r="W20" i="48"/>
  <c r="V20" i="48"/>
  <c r="U20" i="48"/>
  <c r="T20" i="48"/>
  <c r="S20" i="48"/>
  <c r="Q20" i="48"/>
  <c r="O20" i="48"/>
  <c r="M20" i="48"/>
  <c r="K20" i="48"/>
  <c r="X19" i="48"/>
  <c r="W19" i="48"/>
  <c r="V19" i="48"/>
  <c r="U19" i="48"/>
  <c r="T19" i="48"/>
  <c r="S19" i="48"/>
  <c r="Q19" i="48"/>
  <c r="O19" i="48"/>
  <c r="M19" i="48"/>
  <c r="K19" i="48"/>
  <c r="X18" i="48"/>
  <c r="W18" i="48"/>
  <c r="V18" i="48"/>
  <c r="U18" i="48"/>
  <c r="T18" i="48"/>
  <c r="S18" i="48"/>
  <c r="Q18" i="48"/>
  <c r="O18" i="48"/>
  <c r="M18" i="48"/>
  <c r="K18" i="48"/>
  <c r="X17" i="48"/>
  <c r="W17" i="48"/>
  <c r="V17" i="48"/>
  <c r="U17" i="48"/>
  <c r="T17" i="48"/>
  <c r="S17" i="48"/>
  <c r="Q17" i="48"/>
  <c r="O17" i="48"/>
  <c r="M17" i="48"/>
  <c r="K17" i="48"/>
  <c r="X16" i="48"/>
  <c r="W16" i="48"/>
  <c r="V16" i="48"/>
  <c r="U16" i="48"/>
  <c r="T16" i="48"/>
  <c r="S16" i="48"/>
  <c r="Q16" i="48"/>
  <c r="O16" i="48"/>
  <c r="M16" i="48"/>
  <c r="K16" i="48"/>
  <c r="X15" i="48"/>
  <c r="W15" i="48"/>
  <c r="V15" i="48"/>
  <c r="U15" i="48"/>
  <c r="T15" i="48"/>
  <c r="S15" i="48"/>
  <c r="Q15" i="48"/>
  <c r="O15" i="48"/>
  <c r="M15" i="48"/>
  <c r="K15" i="48"/>
  <c r="X14" i="48"/>
  <c r="W14" i="48"/>
  <c r="V14" i="48"/>
  <c r="U14" i="48"/>
  <c r="T14" i="48"/>
  <c r="S14" i="48"/>
  <c r="Q14" i="48"/>
  <c r="O14" i="48"/>
  <c r="M14" i="48"/>
  <c r="K14" i="48"/>
  <c r="X13" i="48"/>
  <c r="W13" i="48"/>
  <c r="V13" i="48"/>
  <c r="U13" i="48"/>
  <c r="T13" i="48"/>
  <c r="S13" i="48"/>
  <c r="Q13" i="48"/>
  <c r="O13" i="48"/>
  <c r="M13" i="48"/>
  <c r="K13" i="48"/>
  <c r="X12" i="48"/>
  <c r="W12" i="48"/>
  <c r="V12" i="48"/>
  <c r="U12" i="48"/>
  <c r="T12" i="48"/>
  <c r="S12" i="48"/>
  <c r="Q12" i="48"/>
  <c r="O12" i="48"/>
  <c r="M12" i="48"/>
  <c r="K12" i="48"/>
  <c r="X11" i="48"/>
  <c r="W11" i="48"/>
  <c r="V11" i="48"/>
  <c r="U11" i="48"/>
  <c r="T11" i="48"/>
  <c r="S11" i="48"/>
  <c r="Q11" i="48"/>
  <c r="O11" i="48"/>
  <c r="M11" i="48"/>
  <c r="K11" i="48"/>
  <c r="X10" i="48"/>
  <c r="W10" i="48"/>
  <c r="V10" i="48"/>
  <c r="U10" i="48"/>
  <c r="T10" i="48"/>
  <c r="S10" i="48"/>
  <c r="Q10" i="48"/>
  <c r="O10" i="48"/>
  <c r="M10" i="48"/>
  <c r="K10" i="48"/>
  <c r="X9" i="48"/>
  <c r="W9" i="48"/>
  <c r="V9" i="48"/>
  <c r="U9" i="48"/>
  <c r="T9" i="48"/>
  <c r="S9" i="48"/>
  <c r="Q9" i="48"/>
  <c r="O9" i="48"/>
  <c r="M9" i="48"/>
  <c r="K9" i="48"/>
  <c r="X8" i="48"/>
  <c r="W8" i="48"/>
  <c r="V8" i="48"/>
  <c r="U8" i="48"/>
  <c r="T8" i="48"/>
  <c r="S8" i="48"/>
  <c r="Q8" i="48"/>
  <c r="O8" i="48"/>
  <c r="M8" i="48"/>
  <c r="K8" i="48"/>
  <c r="X7" i="48"/>
  <c r="W7" i="48"/>
  <c r="V7" i="48"/>
  <c r="U7" i="48"/>
  <c r="T7" i="48"/>
  <c r="S7" i="48"/>
  <c r="Q7" i="48"/>
  <c r="O7" i="48"/>
  <c r="M7" i="48"/>
  <c r="K7" i="48"/>
  <c r="K7" i="47"/>
  <c r="M7" i="47"/>
  <c r="O7" i="47"/>
  <c r="Q7" i="47"/>
  <c r="S7" i="47"/>
  <c r="T7" i="47"/>
  <c r="U7" i="47"/>
  <c r="V7" i="47"/>
  <c r="W7" i="47"/>
  <c r="X7" i="47"/>
  <c r="K8" i="47"/>
  <c r="M8" i="47"/>
  <c r="O8" i="47"/>
  <c r="Q8" i="47"/>
  <c r="S8" i="47"/>
  <c r="T8" i="47"/>
  <c r="U8" i="47"/>
  <c r="V8" i="47"/>
  <c r="W8" i="47"/>
  <c r="X8" i="47"/>
  <c r="K9" i="47"/>
  <c r="M9" i="47"/>
  <c r="O9" i="47"/>
  <c r="Q9" i="47"/>
  <c r="S9" i="47"/>
  <c r="T9" i="47"/>
  <c r="U9" i="47"/>
  <c r="V9" i="47"/>
  <c r="W9" i="47"/>
  <c r="X9" i="47"/>
  <c r="K10" i="47"/>
  <c r="M10" i="47"/>
  <c r="O10" i="47"/>
  <c r="Q10" i="47"/>
  <c r="S10" i="47"/>
  <c r="T10" i="47"/>
  <c r="U10" i="47"/>
  <c r="V10" i="47"/>
  <c r="W10" i="47"/>
  <c r="X10" i="47"/>
  <c r="K11" i="47"/>
  <c r="M11" i="47"/>
  <c r="O11" i="47"/>
  <c r="Q11" i="47"/>
  <c r="S11" i="47"/>
  <c r="T11" i="47"/>
  <c r="U11" i="47"/>
  <c r="V11" i="47"/>
  <c r="W11" i="47"/>
  <c r="X11" i="47"/>
  <c r="K12" i="47"/>
  <c r="M12" i="47"/>
  <c r="O12" i="47"/>
  <c r="Q12" i="47"/>
  <c r="S12" i="47"/>
  <c r="T12" i="47"/>
  <c r="U12" i="47"/>
  <c r="V12" i="47"/>
  <c r="W12" i="47"/>
  <c r="X12" i="47"/>
  <c r="K13" i="47"/>
  <c r="M13" i="47"/>
  <c r="O13" i="47"/>
  <c r="Q13" i="47"/>
  <c r="S13" i="47"/>
  <c r="T13" i="47"/>
  <c r="U13" i="47"/>
  <c r="V13" i="47"/>
  <c r="W13" i="47"/>
  <c r="X13" i="47"/>
  <c r="K14" i="47"/>
  <c r="M14" i="47"/>
  <c r="O14" i="47"/>
  <c r="Q14" i="47"/>
  <c r="S14" i="47"/>
  <c r="T14" i="47"/>
  <c r="U14" i="47"/>
  <c r="V14" i="47"/>
  <c r="W14" i="47"/>
  <c r="X14" i="47"/>
  <c r="K15" i="47"/>
  <c r="M15" i="47"/>
  <c r="O15" i="47"/>
  <c r="Q15" i="47"/>
  <c r="S15" i="47"/>
  <c r="T15" i="47"/>
  <c r="U15" i="47"/>
  <c r="V15" i="47"/>
  <c r="W15" i="47"/>
  <c r="X15" i="47"/>
  <c r="K16" i="47"/>
  <c r="M16" i="47"/>
  <c r="O16" i="47"/>
  <c r="Q16" i="47"/>
  <c r="S16" i="47"/>
  <c r="T16" i="47"/>
  <c r="U16" i="47"/>
  <c r="V16" i="47"/>
  <c r="W16" i="47"/>
  <c r="X16" i="47"/>
  <c r="K17" i="47"/>
  <c r="M17" i="47"/>
  <c r="O17" i="47"/>
  <c r="Q17" i="47"/>
  <c r="S17" i="47"/>
  <c r="T17" i="47"/>
  <c r="U17" i="47"/>
  <c r="V17" i="47"/>
  <c r="W17" i="47"/>
  <c r="X17" i="47"/>
  <c r="K18" i="47"/>
  <c r="M18" i="47"/>
  <c r="O18" i="47"/>
  <c r="Q18" i="47"/>
  <c r="S18" i="47"/>
  <c r="T18" i="47"/>
  <c r="U18" i="47"/>
  <c r="V18" i="47"/>
  <c r="W18" i="47"/>
  <c r="X18" i="47"/>
  <c r="K19" i="47"/>
  <c r="M19" i="47"/>
  <c r="O19" i="47"/>
  <c r="Q19" i="47"/>
  <c r="S19" i="47"/>
  <c r="T19" i="47"/>
  <c r="U19" i="47"/>
  <c r="V19" i="47"/>
  <c r="W19" i="47"/>
  <c r="X19" i="47"/>
  <c r="K20" i="47"/>
  <c r="M20" i="47"/>
  <c r="O20" i="47"/>
  <c r="Q20" i="47"/>
  <c r="S20" i="47"/>
  <c r="T20" i="47"/>
  <c r="U20" i="47"/>
  <c r="V20" i="47"/>
  <c r="W20" i="47"/>
  <c r="X20" i="47"/>
  <c r="K21" i="47"/>
  <c r="M21" i="47"/>
  <c r="O21" i="47"/>
  <c r="Q21" i="47"/>
  <c r="S21" i="47"/>
  <c r="T21" i="47"/>
  <c r="U21" i="47"/>
  <c r="V21" i="47"/>
  <c r="W21" i="47"/>
  <c r="X21" i="47"/>
  <c r="K22" i="47"/>
  <c r="M22" i="47"/>
  <c r="O22" i="47"/>
  <c r="Q22" i="47"/>
  <c r="S22" i="47"/>
  <c r="T22" i="47"/>
  <c r="U22" i="47"/>
  <c r="V22" i="47"/>
  <c r="W22" i="47"/>
  <c r="X22" i="47"/>
  <c r="K23" i="47"/>
  <c r="M23" i="47"/>
  <c r="O23" i="47"/>
  <c r="Q23" i="47"/>
  <c r="S23" i="47"/>
  <c r="T23" i="47"/>
  <c r="U23" i="47"/>
  <c r="V23" i="47"/>
  <c r="W23" i="47"/>
  <c r="X23" i="47"/>
  <c r="K24" i="47"/>
  <c r="M24" i="47"/>
  <c r="O24" i="47"/>
  <c r="Q24" i="47"/>
  <c r="S24" i="47"/>
  <c r="T24" i="47"/>
  <c r="U24" i="47"/>
  <c r="V24" i="47"/>
  <c r="W24" i="47"/>
  <c r="X24" i="47"/>
  <c r="K25" i="47"/>
  <c r="M25" i="47"/>
  <c r="O25" i="47"/>
  <c r="Q25" i="47"/>
  <c r="S25" i="47"/>
  <c r="T25" i="47"/>
  <c r="U25" i="47"/>
  <c r="V25" i="47"/>
  <c r="W25" i="47"/>
  <c r="X25" i="47"/>
  <c r="K26" i="47"/>
  <c r="M26" i="47"/>
  <c r="O26" i="47"/>
  <c r="Q26" i="47"/>
  <c r="S26" i="47"/>
  <c r="T26" i="47"/>
  <c r="U26" i="47"/>
  <c r="V26" i="47"/>
  <c r="W26" i="47"/>
  <c r="X26" i="47"/>
  <c r="K27" i="47"/>
  <c r="M27" i="47"/>
  <c r="O27" i="47"/>
  <c r="Q27" i="47"/>
  <c r="S27" i="47"/>
  <c r="T27" i="47"/>
  <c r="U27" i="47"/>
  <c r="V27" i="47"/>
  <c r="W27" i="47"/>
  <c r="X27" i="47"/>
  <c r="K28" i="47"/>
  <c r="M28" i="47"/>
  <c r="O28" i="47"/>
  <c r="Q28" i="47"/>
  <c r="S28" i="47"/>
  <c r="T28" i="47"/>
  <c r="U28" i="47"/>
  <c r="V28" i="47"/>
  <c r="W28" i="47"/>
  <c r="X28" i="47"/>
  <c r="K29" i="47"/>
  <c r="M29" i="47"/>
  <c r="O29" i="47"/>
  <c r="Q29" i="47"/>
  <c r="S29" i="47"/>
  <c r="T29" i="47"/>
  <c r="U29" i="47"/>
  <c r="V29" i="47"/>
  <c r="W29" i="47"/>
  <c r="X29" i="47"/>
  <c r="K30" i="47"/>
  <c r="M30" i="47"/>
  <c r="O30" i="47"/>
  <c r="Q30" i="47"/>
  <c r="S30" i="47"/>
  <c r="T30" i="47"/>
  <c r="U30" i="47"/>
  <c r="V30" i="47"/>
  <c r="W30" i="47"/>
  <c r="X30" i="47"/>
  <c r="K31" i="47"/>
  <c r="M31" i="47"/>
  <c r="O31" i="47"/>
  <c r="Q31" i="47"/>
  <c r="S31" i="47"/>
  <c r="T31" i="47"/>
  <c r="U31" i="47"/>
  <c r="V31" i="47"/>
  <c r="W31" i="47"/>
  <c r="X31" i="47"/>
  <c r="K32" i="47"/>
  <c r="M32" i="47"/>
  <c r="O32" i="47"/>
  <c r="Q32" i="47"/>
  <c r="S32" i="47"/>
  <c r="T32" i="47"/>
  <c r="U32" i="47"/>
  <c r="V32" i="47"/>
  <c r="W32" i="47"/>
  <c r="X32" i="47"/>
  <c r="K33" i="47"/>
  <c r="M33" i="47"/>
  <c r="O33" i="47"/>
  <c r="Q33" i="47"/>
  <c r="S33" i="47"/>
  <c r="T33" i="47"/>
  <c r="U33" i="47"/>
  <c r="V33" i="47"/>
  <c r="W33" i="47"/>
  <c r="X33" i="47"/>
  <c r="K34" i="47"/>
  <c r="M34" i="47"/>
  <c r="O34" i="47"/>
  <c r="Q34" i="47"/>
  <c r="S34" i="47"/>
  <c r="T34" i="47"/>
  <c r="U34" i="47"/>
  <c r="V34" i="47"/>
  <c r="W34" i="47"/>
  <c r="X34" i="47"/>
  <c r="K35" i="47"/>
  <c r="M35" i="47"/>
  <c r="O35" i="47"/>
  <c r="Q35" i="47"/>
  <c r="S35" i="47"/>
  <c r="T35" i="47"/>
  <c r="U35" i="47"/>
  <c r="V35" i="47"/>
  <c r="W35" i="47"/>
  <c r="X35" i="47"/>
  <c r="K36" i="47"/>
  <c r="M36" i="47"/>
  <c r="O36" i="47"/>
  <c r="Q36" i="47"/>
  <c r="S36" i="47"/>
  <c r="T36" i="47"/>
  <c r="U36" i="47"/>
  <c r="V36" i="47"/>
  <c r="W36" i="47"/>
  <c r="X36" i="47"/>
  <c r="K37" i="47"/>
  <c r="M37" i="47"/>
  <c r="O37" i="47"/>
  <c r="Q37" i="47"/>
  <c r="S37" i="47"/>
  <c r="T37" i="47"/>
  <c r="U37" i="47"/>
  <c r="V37" i="47"/>
  <c r="W37" i="47"/>
  <c r="X37" i="47"/>
  <c r="K38" i="47"/>
  <c r="M38" i="47"/>
  <c r="O38" i="47"/>
  <c r="Q38" i="47"/>
  <c r="S38" i="47"/>
  <c r="T38" i="47"/>
  <c r="U38" i="47"/>
  <c r="V38" i="47"/>
  <c r="W38" i="47"/>
  <c r="X38" i="47"/>
  <c r="K39" i="47"/>
  <c r="M39" i="47"/>
  <c r="O39" i="47"/>
  <c r="Q39" i="47"/>
  <c r="S39" i="47"/>
  <c r="T39" i="47"/>
  <c r="U39" i="47"/>
  <c r="V39" i="47"/>
  <c r="W39" i="47"/>
  <c r="X39" i="47"/>
  <c r="K40" i="47"/>
  <c r="M40" i="47"/>
  <c r="O40" i="47"/>
  <c r="Q40" i="47"/>
  <c r="S40" i="47"/>
  <c r="T40" i="47"/>
  <c r="U40" i="47"/>
  <c r="V40" i="47"/>
  <c r="W40" i="47"/>
  <c r="X40" i="47"/>
  <c r="K41" i="47"/>
  <c r="M41" i="47"/>
  <c r="O41" i="47"/>
  <c r="Q41" i="47"/>
  <c r="S41" i="47"/>
  <c r="T41" i="47"/>
  <c r="U41" i="47"/>
  <c r="V41" i="47"/>
  <c r="W41" i="47"/>
  <c r="X41" i="47"/>
  <c r="K42" i="47"/>
  <c r="M42" i="47"/>
  <c r="O42" i="47"/>
  <c r="Q42" i="47"/>
  <c r="S42" i="47"/>
  <c r="T42" i="47"/>
  <c r="U42" i="47"/>
  <c r="V42" i="47"/>
  <c r="W42" i="47"/>
  <c r="X42" i="47"/>
  <c r="K43" i="47"/>
  <c r="M43" i="47"/>
  <c r="O43" i="47"/>
  <c r="Q43" i="47"/>
  <c r="S43" i="47"/>
  <c r="T43" i="47"/>
  <c r="U43" i="47"/>
  <c r="V43" i="47"/>
  <c r="W43" i="47"/>
  <c r="X43" i="47"/>
  <c r="K44" i="47"/>
  <c r="M44" i="47"/>
  <c r="O44" i="47"/>
  <c r="Q44" i="47"/>
  <c r="S44" i="47"/>
  <c r="T44" i="47"/>
  <c r="U44" i="47"/>
  <c r="V44" i="47"/>
  <c r="W44" i="47"/>
  <c r="X44" i="47"/>
  <c r="K45" i="47"/>
  <c r="M45" i="47"/>
  <c r="O45" i="47"/>
  <c r="Q45" i="47"/>
  <c r="S45" i="47"/>
  <c r="T45" i="47"/>
  <c r="U45" i="47"/>
  <c r="V45" i="47"/>
  <c r="W45" i="47"/>
  <c r="X45" i="47"/>
  <c r="K46" i="47"/>
  <c r="M46" i="47"/>
  <c r="O46" i="47"/>
  <c r="Q46" i="47"/>
  <c r="S46" i="47"/>
  <c r="T46" i="47"/>
  <c r="U46" i="47"/>
  <c r="V46" i="47"/>
  <c r="W46" i="47"/>
  <c r="X46" i="47"/>
  <c r="K47" i="47"/>
  <c r="M47" i="47"/>
  <c r="O47" i="47"/>
  <c r="Q47" i="47"/>
  <c r="S47" i="47"/>
  <c r="T47" i="47"/>
  <c r="U47" i="47"/>
  <c r="V47" i="47"/>
  <c r="W47" i="47"/>
  <c r="X47" i="47"/>
  <c r="K48" i="47"/>
  <c r="M48" i="47"/>
  <c r="O48" i="47"/>
  <c r="Q48" i="47"/>
  <c r="S48" i="47"/>
  <c r="T48" i="47"/>
  <c r="U48" i="47"/>
  <c r="V48" i="47"/>
  <c r="W48" i="47"/>
  <c r="X48" i="47"/>
  <c r="K49" i="47"/>
  <c r="M49" i="47"/>
  <c r="O49" i="47"/>
  <c r="Q49" i="47"/>
  <c r="S49" i="47"/>
  <c r="T49" i="47"/>
  <c r="U49" i="47"/>
  <c r="V49" i="47"/>
  <c r="W49" i="47"/>
  <c r="X49" i="47"/>
  <c r="K50" i="47"/>
  <c r="M50" i="47"/>
  <c r="O50" i="47"/>
  <c r="Q50" i="47"/>
  <c r="S50" i="47"/>
  <c r="T50" i="47"/>
  <c r="U50" i="47"/>
  <c r="V50" i="47"/>
  <c r="W50" i="47"/>
  <c r="X50" i="47"/>
  <c r="K51" i="47"/>
  <c r="M51" i="47"/>
  <c r="O51" i="47"/>
  <c r="Q51" i="47"/>
  <c r="S51" i="47"/>
  <c r="T51" i="47"/>
  <c r="U51" i="47"/>
  <c r="V51" i="47"/>
  <c r="W51" i="47"/>
  <c r="X51" i="47"/>
  <c r="K52" i="47"/>
  <c r="M52" i="47"/>
  <c r="O52" i="47"/>
  <c r="Q52" i="47"/>
  <c r="S52" i="47"/>
  <c r="T52" i="47"/>
  <c r="U52" i="47"/>
  <c r="V52" i="47"/>
  <c r="W52" i="47"/>
  <c r="X52" i="47"/>
  <c r="K53" i="47"/>
  <c r="M53" i="47"/>
  <c r="O53" i="47"/>
  <c r="Q53" i="47"/>
  <c r="S53" i="47"/>
  <c r="T53" i="47"/>
  <c r="U53" i="47"/>
  <c r="V53" i="47"/>
  <c r="W53" i="47"/>
  <c r="X53" i="47"/>
  <c r="K54" i="47"/>
  <c r="M54" i="47"/>
  <c r="O54" i="47"/>
  <c r="Q54" i="47"/>
  <c r="S54" i="47"/>
  <c r="T54" i="47"/>
  <c r="U54" i="47"/>
  <c r="V54" i="47"/>
  <c r="W54" i="47"/>
  <c r="X54" i="47"/>
  <c r="K55" i="47"/>
  <c r="M55" i="47"/>
  <c r="O55" i="47"/>
  <c r="Q55" i="47"/>
  <c r="S55" i="47"/>
  <c r="T55" i="47"/>
  <c r="U55" i="47"/>
  <c r="V55" i="47"/>
  <c r="W55" i="47"/>
  <c r="X55" i="47"/>
  <c r="K56" i="47"/>
  <c r="M56" i="47"/>
  <c r="O56" i="47"/>
  <c r="Q56" i="47"/>
  <c r="S56" i="47"/>
  <c r="T56" i="47"/>
  <c r="U56" i="47"/>
  <c r="V56" i="47"/>
  <c r="W56" i="47"/>
  <c r="X56" i="47"/>
  <c r="K57" i="47"/>
  <c r="M57" i="47"/>
  <c r="O57" i="47"/>
  <c r="Q57" i="47"/>
  <c r="S57" i="47"/>
  <c r="T57" i="47"/>
  <c r="U57" i="47"/>
  <c r="V57" i="47"/>
  <c r="W57" i="47"/>
  <c r="X57" i="47"/>
  <c r="K58" i="47"/>
  <c r="M58" i="47"/>
  <c r="O58" i="47"/>
  <c r="Q58" i="47"/>
  <c r="S58" i="47"/>
  <c r="T58" i="47"/>
  <c r="U58" i="47"/>
  <c r="V58" i="47"/>
  <c r="W58" i="47"/>
  <c r="X58" i="47"/>
  <c r="K59" i="47"/>
  <c r="M59" i="47"/>
  <c r="O59" i="47"/>
  <c r="Q59" i="47"/>
  <c r="S59" i="47"/>
  <c r="T59" i="47"/>
  <c r="U59" i="47"/>
  <c r="V59" i="47"/>
  <c r="W59" i="47"/>
  <c r="X59" i="47"/>
  <c r="K60" i="47"/>
  <c r="M60" i="47"/>
  <c r="O60" i="47"/>
  <c r="Q60" i="47"/>
  <c r="S60" i="47"/>
  <c r="T60" i="47"/>
  <c r="U60" i="47"/>
  <c r="V60" i="47"/>
  <c r="W60" i="47"/>
  <c r="X60" i="47"/>
  <c r="K61" i="47"/>
  <c r="M61" i="47"/>
  <c r="O61" i="47"/>
  <c r="Q61" i="47"/>
  <c r="S61" i="47"/>
  <c r="T61" i="47"/>
  <c r="U61" i="47"/>
  <c r="V61" i="47"/>
  <c r="W61" i="47"/>
  <c r="X61" i="47"/>
  <c r="K62" i="47"/>
  <c r="M62" i="47"/>
  <c r="O62" i="47"/>
  <c r="Q62" i="47"/>
  <c r="S62" i="47"/>
  <c r="T62" i="47"/>
  <c r="U62" i="47"/>
  <c r="V62" i="47"/>
  <c r="W62" i="47"/>
  <c r="X62" i="47"/>
  <c r="K63" i="47"/>
  <c r="M63" i="47"/>
  <c r="O63" i="47"/>
  <c r="Q63" i="47"/>
  <c r="S63" i="47"/>
  <c r="T63" i="47"/>
  <c r="U63" i="47"/>
  <c r="V63" i="47"/>
  <c r="W63" i="47"/>
  <c r="X63" i="47"/>
  <c r="K64" i="47"/>
  <c r="M64" i="47"/>
  <c r="O64" i="47"/>
  <c r="Q64" i="47"/>
  <c r="S64" i="47"/>
  <c r="T64" i="47"/>
  <c r="U64" i="47"/>
  <c r="V64" i="47"/>
  <c r="W64" i="47"/>
  <c r="X64" i="47"/>
  <c r="K65" i="47"/>
  <c r="M65" i="47"/>
  <c r="O65" i="47"/>
  <c r="Q65" i="47"/>
  <c r="S65" i="47"/>
  <c r="T65" i="47"/>
  <c r="U65" i="47"/>
  <c r="V65" i="47"/>
  <c r="W65" i="47"/>
  <c r="X65" i="47"/>
  <c r="K66" i="47"/>
  <c r="M66" i="47"/>
  <c r="O66" i="47"/>
  <c r="Q66" i="47"/>
  <c r="S66" i="47"/>
  <c r="T66" i="47"/>
  <c r="U66" i="47"/>
  <c r="V66" i="47"/>
  <c r="W66" i="47"/>
  <c r="X66" i="47"/>
  <c r="K67" i="47"/>
  <c r="M67" i="47"/>
  <c r="O67" i="47"/>
  <c r="Q67" i="47"/>
  <c r="S67" i="47"/>
  <c r="T67" i="47"/>
  <c r="U67" i="47"/>
  <c r="V67" i="47"/>
  <c r="W67" i="47"/>
  <c r="X67" i="47"/>
  <c r="K68" i="47"/>
  <c r="M68" i="47"/>
  <c r="O68" i="47"/>
  <c r="Q68" i="47"/>
  <c r="S68" i="47"/>
  <c r="T68" i="47"/>
  <c r="U68" i="47"/>
  <c r="V68" i="47"/>
  <c r="W68" i="47"/>
  <c r="X68" i="47"/>
  <c r="K69" i="47"/>
  <c r="M69" i="47"/>
  <c r="O69" i="47"/>
  <c r="Q69" i="47"/>
  <c r="S69" i="47"/>
  <c r="T69" i="47"/>
  <c r="U69" i="47"/>
  <c r="V69" i="47"/>
  <c r="W69" i="47"/>
  <c r="X69" i="47"/>
  <c r="K70" i="47"/>
  <c r="M70" i="47"/>
  <c r="O70" i="47"/>
  <c r="Q70" i="47"/>
  <c r="S70" i="47"/>
  <c r="T70" i="47"/>
  <c r="U70" i="47"/>
  <c r="V70" i="47"/>
  <c r="W70" i="47"/>
  <c r="X70" i="47"/>
  <c r="K71" i="47"/>
  <c r="M71" i="47"/>
  <c r="O71" i="47"/>
  <c r="Q71" i="47"/>
  <c r="S71" i="47"/>
  <c r="T71" i="47"/>
  <c r="U71" i="47"/>
  <c r="V71" i="47"/>
  <c r="W71" i="47"/>
  <c r="X71" i="47"/>
  <c r="K72" i="47"/>
  <c r="M72" i="47"/>
  <c r="O72" i="47"/>
  <c r="Q72" i="47"/>
  <c r="S72" i="47"/>
  <c r="T72" i="47"/>
  <c r="U72" i="47"/>
  <c r="V72" i="47"/>
  <c r="W72" i="47"/>
  <c r="X72" i="47"/>
  <c r="K73" i="47"/>
  <c r="M73" i="47"/>
  <c r="O73" i="47"/>
  <c r="Q73" i="47"/>
  <c r="S73" i="47"/>
  <c r="T73" i="47"/>
  <c r="U73" i="47"/>
  <c r="V73" i="47"/>
  <c r="W73" i="47"/>
  <c r="X73" i="47"/>
  <c r="K74" i="47"/>
  <c r="M74" i="47"/>
  <c r="O74" i="47"/>
  <c r="Q74" i="47"/>
  <c r="S74" i="47"/>
  <c r="T74" i="47"/>
  <c r="U74" i="47"/>
  <c r="V74" i="47"/>
  <c r="W74" i="47"/>
  <c r="X74" i="47"/>
  <c r="K75" i="47"/>
  <c r="M75" i="47"/>
  <c r="O75" i="47"/>
  <c r="Q75" i="47"/>
  <c r="S75" i="47"/>
  <c r="T75" i="47"/>
  <c r="U75" i="47"/>
  <c r="V75" i="47"/>
  <c r="W75" i="47"/>
  <c r="X75" i="47"/>
  <c r="K76" i="47"/>
  <c r="M76" i="47"/>
  <c r="O76" i="47"/>
  <c r="Q76" i="47"/>
  <c r="S76" i="47"/>
  <c r="T76" i="47"/>
  <c r="U76" i="47"/>
  <c r="V76" i="47"/>
  <c r="W76" i="47"/>
  <c r="X76" i="47"/>
  <c r="K77" i="47"/>
  <c r="M77" i="47"/>
  <c r="O77" i="47"/>
  <c r="Q77" i="47"/>
  <c r="S77" i="47"/>
  <c r="T77" i="47"/>
  <c r="U77" i="47"/>
  <c r="V77" i="47"/>
  <c r="W77" i="47"/>
  <c r="X77" i="47"/>
  <c r="K78" i="47"/>
  <c r="M78" i="47"/>
  <c r="O78" i="47"/>
  <c r="Q78" i="47"/>
  <c r="S78" i="47"/>
  <c r="T78" i="47"/>
  <c r="U78" i="47"/>
  <c r="V78" i="47"/>
  <c r="W78" i="47"/>
  <c r="X78" i="47"/>
  <c r="K79" i="47"/>
  <c r="M79" i="47"/>
  <c r="O79" i="47"/>
  <c r="Q79" i="47"/>
  <c r="S79" i="47"/>
  <c r="T79" i="47"/>
  <c r="U79" i="47"/>
  <c r="V79" i="47"/>
  <c r="W79" i="47"/>
  <c r="X79" i="47"/>
  <c r="K80" i="47"/>
  <c r="M80" i="47"/>
  <c r="O80" i="47"/>
  <c r="Q80" i="47"/>
  <c r="S80" i="47"/>
  <c r="T80" i="47"/>
  <c r="U80" i="47"/>
  <c r="V80" i="47"/>
  <c r="W80" i="47"/>
  <c r="X80" i="47"/>
  <c r="K81" i="47"/>
  <c r="M81" i="47"/>
  <c r="O81" i="47"/>
  <c r="Q81" i="47"/>
  <c r="S81" i="47"/>
  <c r="T81" i="47"/>
  <c r="U81" i="47"/>
  <c r="V81" i="47"/>
  <c r="W81" i="47"/>
  <c r="X81" i="47"/>
  <c r="K82" i="47"/>
  <c r="M82" i="47"/>
  <c r="O82" i="47"/>
  <c r="Q82" i="47"/>
  <c r="S82" i="47"/>
  <c r="T82" i="47"/>
  <c r="U82" i="47"/>
  <c r="V82" i="47"/>
  <c r="W82" i="47"/>
  <c r="X82" i="47"/>
  <c r="K83" i="47"/>
  <c r="M83" i="47"/>
  <c r="O83" i="47"/>
  <c r="Q83" i="47"/>
  <c r="S83" i="47"/>
  <c r="T83" i="47"/>
  <c r="U83" i="47"/>
  <c r="V83" i="47"/>
  <c r="W83" i="47"/>
  <c r="X83" i="47"/>
  <c r="K84" i="47"/>
  <c r="M84" i="47"/>
  <c r="O84" i="47"/>
  <c r="Q84" i="47"/>
  <c r="S84" i="47"/>
  <c r="T84" i="47"/>
  <c r="U84" i="47"/>
  <c r="V84" i="47"/>
  <c r="W84" i="47"/>
  <c r="X84" i="47"/>
  <c r="K85" i="47"/>
  <c r="M85" i="47"/>
  <c r="O85" i="47"/>
  <c r="Q85" i="47"/>
  <c r="S85" i="47"/>
  <c r="T85" i="47"/>
  <c r="U85" i="47"/>
  <c r="V85" i="47"/>
  <c r="W85" i="47"/>
  <c r="X85" i="47"/>
  <c r="K86" i="47"/>
  <c r="M86" i="47"/>
  <c r="O86" i="47"/>
  <c r="Q86" i="47"/>
  <c r="S86" i="47"/>
  <c r="T86" i="47"/>
  <c r="U86" i="47"/>
  <c r="V86" i="47"/>
  <c r="W86" i="47"/>
  <c r="X86" i="47"/>
  <c r="K87" i="47"/>
  <c r="M87" i="47"/>
  <c r="O87" i="47"/>
  <c r="Q87" i="47"/>
  <c r="S87" i="47"/>
  <c r="T87" i="47"/>
  <c r="U87" i="47"/>
  <c r="V87" i="47"/>
  <c r="W87" i="47"/>
  <c r="X87" i="47"/>
  <c r="K88" i="47"/>
  <c r="M88" i="47"/>
  <c r="O88" i="47"/>
  <c r="Q88" i="47"/>
  <c r="S88" i="47"/>
  <c r="T88" i="47"/>
  <c r="U88" i="47"/>
  <c r="V88" i="47"/>
  <c r="W88" i="47"/>
  <c r="X88" i="47"/>
  <c r="K89" i="47"/>
  <c r="M89" i="47"/>
  <c r="O89" i="47"/>
  <c r="Q89" i="47"/>
  <c r="S89" i="47"/>
  <c r="T89" i="47"/>
  <c r="U89" i="47"/>
  <c r="V89" i="47"/>
  <c r="W89" i="47"/>
  <c r="X89" i="47"/>
  <c r="K90" i="47"/>
  <c r="M90" i="47"/>
  <c r="O90" i="47"/>
  <c r="Q90" i="47"/>
  <c r="S90" i="47"/>
  <c r="T90" i="47"/>
  <c r="U90" i="47"/>
  <c r="V90" i="47"/>
  <c r="W90" i="47"/>
  <c r="X90" i="47"/>
  <c r="K91" i="47"/>
  <c r="M91" i="47"/>
  <c r="O91" i="47"/>
  <c r="Q91" i="47"/>
  <c r="S91" i="47"/>
  <c r="T91" i="47"/>
  <c r="U91" i="47"/>
  <c r="V91" i="47"/>
  <c r="W91" i="47"/>
  <c r="X91" i="47"/>
  <c r="K92" i="47"/>
  <c r="M92" i="47"/>
  <c r="O92" i="47"/>
  <c r="Q92" i="47"/>
  <c r="S92" i="47"/>
  <c r="T92" i="47"/>
  <c r="U92" i="47"/>
  <c r="V92" i="47"/>
  <c r="W92" i="47"/>
  <c r="X92" i="47"/>
  <c r="K93" i="47"/>
  <c r="M93" i="47"/>
  <c r="O93" i="47"/>
  <c r="Q93" i="47"/>
  <c r="S93" i="47"/>
  <c r="T93" i="47"/>
  <c r="U93" i="47"/>
  <c r="V93" i="47"/>
  <c r="W93" i="47"/>
  <c r="X93" i="47"/>
  <c r="K94" i="47"/>
  <c r="M94" i="47"/>
  <c r="O94" i="47"/>
  <c r="Q94" i="47"/>
  <c r="S94" i="47"/>
  <c r="T94" i="47"/>
  <c r="U94" i="47"/>
  <c r="V94" i="47"/>
  <c r="W94" i="47"/>
  <c r="X94" i="47"/>
  <c r="K95" i="47"/>
  <c r="M95" i="47"/>
  <c r="O95" i="47"/>
  <c r="Q95" i="47"/>
  <c r="S95" i="47"/>
  <c r="T95" i="47"/>
  <c r="U95" i="47"/>
  <c r="V95" i="47"/>
  <c r="W95" i="47"/>
  <c r="X95" i="47"/>
  <c r="K96" i="47"/>
  <c r="M96" i="47"/>
  <c r="O96" i="47"/>
  <c r="Q96" i="47"/>
  <c r="S96" i="47"/>
  <c r="T96" i="47"/>
  <c r="U96" i="47"/>
  <c r="V96" i="47"/>
  <c r="W96" i="47"/>
  <c r="X96" i="47"/>
  <c r="K97" i="47"/>
  <c r="M97" i="47"/>
  <c r="O97" i="47"/>
  <c r="Q97" i="47"/>
  <c r="S97" i="47"/>
  <c r="T97" i="47"/>
  <c r="U97" i="47"/>
  <c r="V97" i="47"/>
  <c r="W97" i="47"/>
  <c r="X97" i="47"/>
  <c r="K98" i="47"/>
  <c r="M98" i="47"/>
  <c r="O98" i="47"/>
  <c r="Q98" i="47"/>
  <c r="S98" i="47"/>
  <c r="T98" i="47"/>
  <c r="U98" i="47"/>
  <c r="V98" i="47"/>
  <c r="W98" i="47"/>
  <c r="X98" i="47"/>
  <c r="K99" i="47"/>
  <c r="M99" i="47"/>
  <c r="O99" i="47"/>
  <c r="Q99" i="47"/>
  <c r="S99" i="47"/>
  <c r="T99" i="47"/>
  <c r="U99" i="47"/>
  <c r="V99" i="47"/>
  <c r="W99" i="47"/>
  <c r="X99" i="47"/>
  <c r="K100" i="47"/>
  <c r="M100" i="47"/>
  <c r="O100" i="47"/>
  <c r="Q100" i="47"/>
  <c r="S100" i="47"/>
  <c r="T100" i="47"/>
  <c r="U100" i="47"/>
  <c r="V100" i="47"/>
  <c r="W100" i="47"/>
  <c r="X100" i="47"/>
  <c r="K101" i="47"/>
  <c r="M101" i="47"/>
  <c r="O101" i="47"/>
  <c r="Q101" i="47"/>
  <c r="S101" i="47"/>
  <c r="T101" i="47"/>
  <c r="U101" i="47"/>
  <c r="V101" i="47"/>
  <c r="W101" i="47"/>
  <c r="X101" i="47"/>
  <c r="K102" i="47"/>
  <c r="M102" i="47"/>
  <c r="O102" i="47"/>
  <c r="Q102" i="47"/>
  <c r="S102" i="47"/>
  <c r="T102" i="47"/>
  <c r="U102" i="47"/>
  <c r="V102" i="47"/>
  <c r="W102" i="47"/>
  <c r="X102" i="47"/>
  <c r="K103" i="47"/>
  <c r="M103" i="47"/>
  <c r="O103" i="47"/>
  <c r="Q103" i="47"/>
  <c r="S103" i="47"/>
  <c r="T103" i="47"/>
  <c r="U103" i="47"/>
  <c r="V103" i="47"/>
  <c r="W103" i="47"/>
  <c r="X103" i="47"/>
  <c r="K104" i="47"/>
  <c r="M104" i="47"/>
  <c r="O104" i="47"/>
  <c r="Q104" i="47"/>
  <c r="S104" i="47"/>
  <c r="T104" i="47"/>
  <c r="U104" i="47"/>
  <c r="V104" i="47"/>
  <c r="W104" i="47"/>
  <c r="X104" i="47"/>
  <c r="K105" i="47"/>
  <c r="M105" i="47"/>
  <c r="O105" i="47"/>
  <c r="Q105" i="47"/>
  <c r="S105" i="47"/>
  <c r="T105" i="47"/>
  <c r="U105" i="47"/>
  <c r="V105" i="47"/>
  <c r="W105" i="47"/>
  <c r="X105" i="47"/>
  <c r="K106" i="47"/>
  <c r="M106" i="47"/>
  <c r="O106" i="47"/>
  <c r="Q106" i="47"/>
  <c r="S106" i="47"/>
  <c r="T106" i="47"/>
  <c r="U106" i="47"/>
  <c r="V106" i="47"/>
  <c r="W106" i="47"/>
  <c r="X106" i="47"/>
  <c r="K107" i="47"/>
  <c r="M107" i="47"/>
  <c r="O107" i="47"/>
  <c r="Q107" i="47"/>
  <c r="S107" i="47"/>
  <c r="T107" i="47"/>
  <c r="U107" i="47"/>
  <c r="V107" i="47"/>
  <c r="W107" i="47"/>
  <c r="X107" i="47"/>
  <c r="K108" i="47"/>
  <c r="M108" i="47"/>
  <c r="O108" i="47"/>
  <c r="Q108" i="47"/>
  <c r="S108" i="47"/>
  <c r="T108" i="47"/>
  <c r="U108" i="47"/>
  <c r="V108" i="47"/>
  <c r="W108" i="47"/>
  <c r="X108" i="47"/>
  <c r="K109" i="47"/>
  <c r="M109" i="47"/>
  <c r="O109" i="47"/>
  <c r="Q109" i="47"/>
  <c r="S109" i="47"/>
  <c r="T109" i="47"/>
  <c r="U109" i="47"/>
  <c r="V109" i="47"/>
  <c r="W109" i="47"/>
  <c r="X109" i="47"/>
  <c r="K110" i="47"/>
  <c r="M110" i="47"/>
  <c r="O110" i="47"/>
  <c r="Q110" i="47"/>
  <c r="S110" i="47"/>
  <c r="T110" i="47"/>
  <c r="U110" i="47"/>
  <c r="V110" i="47"/>
  <c r="W110" i="47"/>
  <c r="X110" i="47"/>
  <c r="K111" i="47"/>
  <c r="M111" i="47"/>
  <c r="O111" i="47"/>
  <c r="Q111" i="47"/>
  <c r="S111" i="47"/>
  <c r="T111" i="47"/>
  <c r="U111" i="47"/>
  <c r="V111" i="47"/>
  <c r="W111" i="47"/>
  <c r="X111" i="47"/>
  <c r="K112" i="47"/>
  <c r="M112" i="47"/>
  <c r="O112" i="47"/>
  <c r="Q112" i="47"/>
  <c r="S112" i="47"/>
  <c r="T112" i="47"/>
  <c r="U112" i="47"/>
  <c r="V112" i="47"/>
  <c r="W112" i="47"/>
  <c r="X112" i="47"/>
  <c r="K113" i="47"/>
  <c r="M113" i="47"/>
  <c r="O113" i="47"/>
  <c r="Q113" i="47"/>
  <c r="S113" i="47"/>
  <c r="T113" i="47"/>
  <c r="U113" i="47"/>
  <c r="V113" i="47"/>
  <c r="W113" i="47"/>
  <c r="X113" i="47"/>
  <c r="K114" i="47"/>
  <c r="M114" i="47"/>
  <c r="O114" i="47"/>
  <c r="Q114" i="47"/>
  <c r="S114" i="47"/>
  <c r="T114" i="47"/>
  <c r="U114" i="47"/>
  <c r="V114" i="47"/>
  <c r="W114" i="47"/>
  <c r="X114" i="47"/>
  <c r="K115" i="47"/>
  <c r="M115" i="47"/>
  <c r="O115" i="47"/>
  <c r="Q115" i="47"/>
  <c r="S115" i="47"/>
  <c r="T115" i="47"/>
  <c r="U115" i="47"/>
  <c r="V115" i="47"/>
  <c r="W115" i="47"/>
  <c r="X115" i="47"/>
  <c r="K116" i="47"/>
  <c r="M116" i="47"/>
  <c r="O116" i="47"/>
  <c r="Q116" i="47"/>
  <c r="S116" i="47"/>
  <c r="T116" i="47"/>
  <c r="U116" i="47"/>
  <c r="V116" i="47"/>
  <c r="W116" i="47"/>
  <c r="X116" i="47"/>
  <c r="K117" i="47"/>
  <c r="M117" i="47"/>
  <c r="O117" i="47"/>
  <c r="Q117" i="47"/>
  <c r="S117" i="47"/>
  <c r="T117" i="47"/>
  <c r="U117" i="47"/>
  <c r="V117" i="47"/>
  <c r="W117" i="47"/>
  <c r="X117" i="47"/>
  <c r="K118" i="47"/>
  <c r="M118" i="47"/>
  <c r="O118" i="47"/>
  <c r="Q118" i="47"/>
  <c r="S118" i="47"/>
  <c r="T118" i="47"/>
  <c r="U118" i="47"/>
  <c r="V118" i="47"/>
  <c r="W118" i="47"/>
  <c r="X118" i="47"/>
  <c r="K119" i="47"/>
  <c r="M119" i="47"/>
  <c r="O119" i="47"/>
  <c r="Q119" i="47"/>
  <c r="S119" i="47"/>
  <c r="T119" i="47"/>
  <c r="U119" i="47"/>
  <c r="V119" i="47"/>
  <c r="W119" i="47"/>
  <c r="X119" i="47"/>
  <c r="K120" i="47"/>
  <c r="M120" i="47"/>
  <c r="O120" i="47"/>
  <c r="Q120" i="47"/>
  <c r="S120" i="47"/>
  <c r="T120" i="47"/>
  <c r="U120" i="47"/>
  <c r="V120" i="47"/>
  <c r="W120" i="47"/>
  <c r="X120" i="47"/>
  <c r="K121" i="47"/>
  <c r="M121" i="47"/>
  <c r="O121" i="47"/>
  <c r="Q121" i="47"/>
  <c r="S121" i="47"/>
  <c r="T121" i="47"/>
  <c r="U121" i="47"/>
  <c r="V121" i="47"/>
  <c r="W121" i="47"/>
  <c r="X121" i="47"/>
  <c r="K122" i="47"/>
  <c r="M122" i="47"/>
  <c r="O122" i="47"/>
  <c r="Q122" i="47"/>
  <c r="S122" i="47"/>
  <c r="T122" i="47"/>
  <c r="U122" i="47"/>
  <c r="V122" i="47"/>
  <c r="W122" i="47"/>
  <c r="X122" i="47"/>
  <c r="K123" i="47"/>
  <c r="M123" i="47"/>
  <c r="O123" i="47"/>
  <c r="Q123" i="47"/>
  <c r="S123" i="47"/>
  <c r="T123" i="47"/>
  <c r="U123" i="47"/>
  <c r="V123" i="47"/>
  <c r="W123" i="47"/>
  <c r="X123" i="47"/>
  <c r="K124" i="47"/>
  <c r="M124" i="47"/>
  <c r="O124" i="47"/>
  <c r="Q124" i="47"/>
  <c r="S124" i="47"/>
  <c r="T124" i="47"/>
  <c r="U124" i="47"/>
  <c r="V124" i="47"/>
  <c r="W124" i="47"/>
  <c r="X124" i="47"/>
  <c r="K125" i="47"/>
  <c r="M125" i="47"/>
  <c r="O125" i="47"/>
  <c r="Q125" i="47"/>
  <c r="S125" i="47"/>
  <c r="T125" i="47"/>
  <c r="U125" i="47"/>
  <c r="V125" i="47"/>
  <c r="W125" i="47"/>
  <c r="X125" i="47"/>
  <c r="K126" i="47"/>
  <c r="M126" i="47"/>
  <c r="O126" i="47"/>
  <c r="Q126" i="47"/>
  <c r="S126" i="47"/>
  <c r="T126" i="47"/>
  <c r="U126" i="47"/>
  <c r="V126" i="47"/>
  <c r="W126" i="47"/>
  <c r="X126" i="47"/>
  <c r="K127" i="47"/>
  <c r="M127" i="47"/>
  <c r="O127" i="47"/>
  <c r="Q127" i="47"/>
  <c r="S127" i="47"/>
  <c r="T127" i="47"/>
  <c r="U127" i="47"/>
  <c r="V127" i="47"/>
  <c r="W127" i="47"/>
  <c r="X127" i="47"/>
  <c r="K128" i="47"/>
  <c r="M128" i="47"/>
  <c r="O128" i="47"/>
  <c r="Q128" i="47"/>
  <c r="S128" i="47"/>
  <c r="T128" i="47"/>
  <c r="U128" i="47"/>
  <c r="V128" i="47"/>
  <c r="W128" i="47"/>
  <c r="X128" i="47"/>
  <c r="K129" i="47"/>
  <c r="M129" i="47"/>
  <c r="O129" i="47"/>
  <c r="Q129" i="47"/>
  <c r="S129" i="47"/>
  <c r="T129" i="47"/>
  <c r="U129" i="47"/>
  <c r="V129" i="47"/>
  <c r="W129" i="47"/>
  <c r="X129" i="47"/>
  <c r="K130" i="47"/>
  <c r="M130" i="47"/>
  <c r="O130" i="47"/>
  <c r="Q130" i="47"/>
  <c r="S130" i="47"/>
  <c r="T130" i="47"/>
  <c r="U130" i="47"/>
  <c r="V130" i="47"/>
  <c r="W130" i="47"/>
  <c r="X130" i="47"/>
  <c r="K131" i="47"/>
  <c r="M131" i="47"/>
  <c r="O131" i="47"/>
  <c r="Q131" i="47"/>
  <c r="S131" i="47"/>
  <c r="T131" i="47"/>
  <c r="U131" i="47"/>
  <c r="V131" i="47"/>
  <c r="W131" i="47"/>
  <c r="X131" i="47"/>
  <c r="K132" i="47"/>
  <c r="M132" i="47"/>
  <c r="O132" i="47"/>
  <c r="Q132" i="47"/>
  <c r="S132" i="47"/>
  <c r="T132" i="47"/>
  <c r="U132" i="47"/>
  <c r="V132" i="47"/>
  <c r="W132" i="47"/>
  <c r="X132" i="47"/>
  <c r="K133" i="47"/>
  <c r="M133" i="47"/>
  <c r="O133" i="47"/>
  <c r="Q133" i="47"/>
  <c r="S133" i="47"/>
  <c r="T133" i="47"/>
  <c r="U133" i="47"/>
  <c r="V133" i="47"/>
  <c r="W133" i="47"/>
  <c r="X133" i="47"/>
  <c r="K134" i="47"/>
  <c r="M134" i="47"/>
  <c r="O134" i="47"/>
  <c r="Q134" i="47"/>
  <c r="S134" i="47"/>
  <c r="T134" i="47"/>
  <c r="U134" i="47"/>
  <c r="V134" i="47"/>
  <c r="W134" i="47"/>
  <c r="X134" i="47"/>
  <c r="K135" i="47"/>
  <c r="M135" i="47"/>
  <c r="O135" i="47"/>
  <c r="Q135" i="47"/>
  <c r="S135" i="47"/>
  <c r="T135" i="47"/>
  <c r="U135" i="47"/>
  <c r="V135" i="47"/>
  <c r="W135" i="47"/>
  <c r="X135" i="47"/>
  <c r="K136" i="47"/>
  <c r="M136" i="47"/>
  <c r="O136" i="47"/>
  <c r="Q136" i="47"/>
  <c r="S136" i="47"/>
  <c r="T136" i="47"/>
  <c r="U136" i="47"/>
  <c r="V136" i="47"/>
  <c r="W136" i="47"/>
  <c r="X136" i="47"/>
  <c r="K137" i="47"/>
  <c r="M137" i="47"/>
  <c r="O137" i="47"/>
  <c r="Q137" i="47"/>
  <c r="S137" i="47"/>
  <c r="T137" i="47"/>
  <c r="U137" i="47"/>
  <c r="V137" i="47"/>
  <c r="W137" i="47"/>
  <c r="X137" i="47"/>
  <c r="K138" i="47"/>
  <c r="M138" i="47"/>
  <c r="O138" i="47"/>
  <c r="Q138" i="47"/>
  <c r="S138" i="47"/>
  <c r="T138" i="47"/>
  <c r="U138" i="47"/>
  <c r="V138" i="47"/>
  <c r="W138" i="47"/>
  <c r="X138" i="47"/>
  <c r="K139" i="47"/>
  <c r="M139" i="47"/>
  <c r="O139" i="47"/>
  <c r="Q139" i="47"/>
  <c r="S139" i="47"/>
  <c r="T139" i="47"/>
  <c r="U139" i="47"/>
  <c r="V139" i="47"/>
  <c r="W139" i="47"/>
  <c r="X139" i="47"/>
  <c r="K140" i="47"/>
  <c r="M140" i="47"/>
  <c r="O140" i="47"/>
  <c r="Q140" i="47"/>
  <c r="S140" i="47"/>
  <c r="T140" i="47"/>
  <c r="U140" i="47"/>
  <c r="V140" i="47"/>
  <c r="W140" i="47"/>
  <c r="X140" i="47"/>
  <c r="K141" i="47"/>
  <c r="M141" i="47"/>
  <c r="O141" i="47"/>
  <c r="Q141" i="47"/>
  <c r="S141" i="47"/>
  <c r="T141" i="47"/>
  <c r="U141" i="47"/>
  <c r="V141" i="47"/>
  <c r="W141" i="47"/>
  <c r="X141" i="47"/>
  <c r="K142" i="47"/>
  <c r="M142" i="47"/>
  <c r="O142" i="47"/>
  <c r="Q142" i="47"/>
  <c r="S142" i="47"/>
  <c r="T142" i="47"/>
  <c r="U142" i="47"/>
  <c r="V142" i="47"/>
  <c r="W142" i="47"/>
  <c r="X142" i="47"/>
  <c r="K143" i="47"/>
  <c r="M143" i="47"/>
  <c r="O143" i="47"/>
  <c r="Q143" i="47"/>
  <c r="S143" i="47"/>
  <c r="T143" i="47"/>
  <c r="U143" i="47"/>
  <c r="V143" i="47"/>
  <c r="W143" i="47"/>
  <c r="X143" i="47"/>
  <c r="K144" i="47"/>
  <c r="M144" i="47"/>
  <c r="O144" i="47"/>
  <c r="Q144" i="47"/>
  <c r="S144" i="47"/>
  <c r="T144" i="47"/>
  <c r="U144" i="47"/>
  <c r="V144" i="47"/>
  <c r="W144" i="47"/>
  <c r="X144" i="47"/>
  <c r="K145" i="47"/>
  <c r="M145" i="47"/>
  <c r="O145" i="47"/>
  <c r="Q145" i="47"/>
  <c r="S145" i="47"/>
  <c r="T145" i="47"/>
  <c r="U145" i="47"/>
  <c r="V145" i="47"/>
  <c r="W145" i="47"/>
  <c r="X145" i="47"/>
  <c r="K146" i="47"/>
  <c r="M146" i="47"/>
  <c r="O146" i="47"/>
  <c r="Q146" i="47"/>
  <c r="S146" i="47"/>
  <c r="T146" i="47"/>
  <c r="U146" i="47"/>
  <c r="V146" i="47"/>
  <c r="W146" i="47"/>
  <c r="X146" i="47"/>
  <c r="K147" i="47"/>
  <c r="M147" i="47"/>
  <c r="O147" i="47"/>
  <c r="Q147" i="47"/>
  <c r="S147" i="47"/>
  <c r="T147" i="47"/>
  <c r="U147" i="47"/>
  <c r="V147" i="47"/>
  <c r="W147" i="47"/>
  <c r="X147" i="47"/>
  <c r="K148" i="47"/>
  <c r="M148" i="47"/>
  <c r="O148" i="47"/>
  <c r="Q148" i="47"/>
  <c r="S148" i="47"/>
  <c r="T148" i="47"/>
  <c r="U148" i="47"/>
  <c r="V148" i="47"/>
  <c r="W148" i="47"/>
  <c r="X148" i="47"/>
  <c r="K149" i="47"/>
  <c r="M149" i="47"/>
  <c r="O149" i="47"/>
  <c r="Q149" i="47"/>
  <c r="S149" i="47"/>
  <c r="T149" i="47"/>
  <c r="U149" i="47"/>
  <c r="V149" i="47"/>
  <c r="W149" i="47"/>
  <c r="X149" i="47"/>
  <c r="K150" i="47"/>
  <c r="M150" i="47"/>
  <c r="O150" i="47"/>
  <c r="Q150" i="47"/>
  <c r="S150" i="47"/>
  <c r="T150" i="47"/>
  <c r="U150" i="47"/>
  <c r="V150" i="47"/>
  <c r="W150" i="47"/>
  <c r="X150" i="47"/>
  <c r="K151" i="47"/>
  <c r="M151" i="47"/>
  <c r="O151" i="47"/>
  <c r="Q151" i="47"/>
  <c r="S151" i="47"/>
  <c r="T151" i="47"/>
  <c r="U151" i="47"/>
  <c r="V151" i="47"/>
  <c r="W151" i="47"/>
  <c r="X151" i="47"/>
  <c r="K152" i="47"/>
  <c r="M152" i="47"/>
  <c r="O152" i="47"/>
  <c r="Q152" i="47"/>
  <c r="S152" i="47"/>
  <c r="T152" i="47"/>
  <c r="U152" i="47"/>
  <c r="V152" i="47"/>
  <c r="W152" i="47"/>
  <c r="X152" i="47"/>
  <c r="K153" i="47"/>
  <c r="M153" i="47"/>
  <c r="O153" i="47"/>
  <c r="Q153" i="47"/>
  <c r="S153" i="47"/>
  <c r="T153" i="47"/>
  <c r="U153" i="47"/>
  <c r="V153" i="47"/>
  <c r="W153" i="47"/>
  <c r="X153" i="47"/>
  <c r="K154" i="47"/>
  <c r="M154" i="47"/>
  <c r="O154" i="47"/>
  <c r="Q154" i="47"/>
  <c r="S154" i="47"/>
  <c r="T154" i="47"/>
  <c r="U154" i="47"/>
  <c r="V154" i="47"/>
  <c r="W154" i="47"/>
  <c r="X154" i="47"/>
  <c r="K155" i="47"/>
  <c r="M155" i="47"/>
  <c r="O155" i="47"/>
  <c r="Q155" i="47"/>
  <c r="S155" i="47"/>
  <c r="T155" i="47"/>
  <c r="U155" i="47"/>
  <c r="V155" i="47"/>
  <c r="W155" i="47"/>
  <c r="X155" i="47"/>
  <c r="K156" i="47"/>
  <c r="M156" i="47"/>
  <c r="O156" i="47"/>
  <c r="Q156" i="47"/>
  <c r="S156" i="47"/>
  <c r="T156" i="47"/>
  <c r="U156" i="47"/>
  <c r="V156" i="47"/>
  <c r="W156" i="47"/>
  <c r="X156" i="47"/>
  <c r="K157" i="47"/>
  <c r="M157" i="47"/>
  <c r="O157" i="47"/>
  <c r="Q157" i="47"/>
  <c r="S157" i="47"/>
  <c r="T157" i="47"/>
  <c r="U157" i="47"/>
  <c r="V157" i="47"/>
  <c r="W157" i="47"/>
  <c r="X157" i="47"/>
  <c r="K158" i="47"/>
  <c r="M158" i="47"/>
  <c r="O158" i="47"/>
  <c r="Q158" i="47"/>
  <c r="S158" i="47"/>
  <c r="T158" i="47"/>
  <c r="U158" i="47"/>
  <c r="V158" i="47"/>
  <c r="W158" i="47"/>
  <c r="X158" i="47"/>
  <c r="K159" i="47"/>
  <c r="M159" i="47"/>
  <c r="O159" i="47"/>
  <c r="Q159" i="47"/>
  <c r="S159" i="47"/>
  <c r="T159" i="47"/>
  <c r="U159" i="47"/>
  <c r="V159" i="47"/>
  <c r="W159" i="47"/>
  <c r="X159" i="47"/>
  <c r="K160" i="47"/>
  <c r="M160" i="47"/>
  <c r="O160" i="47"/>
  <c r="Q160" i="47"/>
  <c r="S160" i="47"/>
  <c r="T160" i="47"/>
  <c r="U160" i="47"/>
  <c r="V160" i="47"/>
  <c r="W160" i="47"/>
  <c r="X160" i="47"/>
  <c r="K161" i="47"/>
  <c r="M161" i="47"/>
  <c r="O161" i="47"/>
  <c r="Q161" i="47"/>
  <c r="S161" i="47"/>
  <c r="T161" i="47"/>
  <c r="U161" i="47"/>
  <c r="V161" i="47"/>
  <c r="W161" i="47"/>
  <c r="X161" i="47"/>
  <c r="K162" i="47"/>
  <c r="M162" i="47"/>
  <c r="O162" i="47"/>
  <c r="Q162" i="47"/>
  <c r="S162" i="47"/>
  <c r="T162" i="47"/>
  <c r="U162" i="47"/>
  <c r="V162" i="47"/>
  <c r="W162" i="47"/>
  <c r="X162" i="47"/>
  <c r="K163" i="47"/>
  <c r="M163" i="47"/>
  <c r="O163" i="47"/>
  <c r="Q163" i="47"/>
  <c r="S163" i="47"/>
  <c r="T163" i="47"/>
  <c r="U163" i="47"/>
  <c r="V163" i="47"/>
  <c r="W163" i="47"/>
  <c r="X163" i="47"/>
  <c r="K164" i="47"/>
  <c r="M164" i="47"/>
  <c r="O164" i="47"/>
  <c r="Q164" i="47"/>
  <c r="S164" i="47"/>
  <c r="T164" i="47"/>
  <c r="U164" i="47"/>
  <c r="V164" i="47"/>
  <c r="W164" i="47"/>
  <c r="X164" i="47"/>
  <c r="K165" i="47"/>
  <c r="M165" i="47"/>
  <c r="O165" i="47"/>
  <c r="Q165" i="47"/>
  <c r="S165" i="47"/>
  <c r="T165" i="47"/>
  <c r="U165" i="47"/>
  <c r="V165" i="47"/>
  <c r="W165" i="47"/>
  <c r="X165" i="47"/>
  <c r="K166" i="47"/>
  <c r="M166" i="47"/>
  <c r="O166" i="47"/>
  <c r="Q166" i="47"/>
  <c r="S166" i="47"/>
  <c r="T166" i="47"/>
  <c r="U166" i="47"/>
  <c r="V166" i="47"/>
  <c r="W166" i="47"/>
  <c r="X166" i="47"/>
  <c r="K167" i="47"/>
  <c r="M167" i="47"/>
  <c r="O167" i="47"/>
  <c r="Q167" i="47"/>
  <c r="S167" i="47"/>
  <c r="T167" i="47"/>
  <c r="U167" i="47"/>
  <c r="V167" i="47"/>
  <c r="W167" i="47"/>
  <c r="X167" i="47"/>
  <c r="K168" i="47"/>
  <c r="M168" i="47"/>
  <c r="O168" i="47"/>
  <c r="Q168" i="47"/>
  <c r="S168" i="47"/>
  <c r="T168" i="47"/>
  <c r="U168" i="47"/>
  <c r="V168" i="47"/>
  <c r="W168" i="47"/>
  <c r="X168" i="47"/>
  <c r="K169" i="47"/>
  <c r="M169" i="47"/>
  <c r="O169" i="47"/>
  <c r="Q169" i="47"/>
  <c r="S169" i="47"/>
  <c r="T169" i="47"/>
  <c r="U169" i="47"/>
  <c r="V169" i="47"/>
  <c r="W169" i="47"/>
  <c r="X169" i="47"/>
  <c r="K170" i="47"/>
  <c r="M170" i="47"/>
  <c r="O170" i="47"/>
  <c r="Q170" i="47"/>
  <c r="S170" i="47"/>
  <c r="T170" i="47"/>
  <c r="U170" i="47"/>
  <c r="V170" i="47"/>
  <c r="W170" i="47"/>
  <c r="X170" i="47"/>
  <c r="K171" i="47"/>
  <c r="M171" i="47"/>
  <c r="O171" i="47"/>
  <c r="Q171" i="47"/>
  <c r="S171" i="47"/>
  <c r="T171" i="47"/>
  <c r="U171" i="47"/>
  <c r="V171" i="47"/>
  <c r="W171" i="47"/>
  <c r="X171" i="47"/>
  <c r="K172" i="47"/>
  <c r="M172" i="47"/>
  <c r="O172" i="47"/>
  <c r="Q172" i="47"/>
  <c r="S172" i="47"/>
  <c r="T172" i="47"/>
  <c r="U172" i="47"/>
  <c r="V172" i="47"/>
  <c r="W172" i="47"/>
  <c r="X172" i="47"/>
  <c r="K173" i="47"/>
  <c r="M173" i="47"/>
  <c r="O173" i="47"/>
  <c r="Q173" i="47"/>
  <c r="S173" i="47"/>
  <c r="T173" i="47"/>
  <c r="U173" i="47"/>
  <c r="V173" i="47"/>
  <c r="W173" i="47"/>
  <c r="X173" i="47"/>
  <c r="K174" i="47"/>
  <c r="M174" i="47"/>
  <c r="O174" i="47"/>
  <c r="Q174" i="47"/>
  <c r="S174" i="47"/>
  <c r="T174" i="47"/>
  <c r="U174" i="47"/>
  <c r="V174" i="47"/>
  <c r="W174" i="47"/>
  <c r="X174" i="47"/>
  <c r="K175" i="47"/>
  <c r="M175" i="47"/>
  <c r="O175" i="47"/>
  <c r="Q175" i="47"/>
  <c r="S175" i="47"/>
  <c r="T175" i="47"/>
  <c r="U175" i="47"/>
  <c r="V175" i="47"/>
  <c r="W175" i="47"/>
  <c r="X175" i="47"/>
  <c r="K176" i="47"/>
  <c r="M176" i="47"/>
  <c r="O176" i="47"/>
  <c r="Q176" i="47"/>
  <c r="S176" i="47"/>
  <c r="T176" i="47"/>
  <c r="U176" i="47"/>
  <c r="V176" i="47"/>
  <c r="W176" i="47"/>
  <c r="X176" i="47"/>
  <c r="K177" i="47"/>
  <c r="M177" i="47"/>
  <c r="O177" i="47"/>
  <c r="Q177" i="47"/>
  <c r="S177" i="47"/>
  <c r="T177" i="47"/>
  <c r="U177" i="47"/>
  <c r="V177" i="47"/>
  <c r="W177" i="47"/>
  <c r="X177" i="47"/>
  <c r="K178" i="47"/>
  <c r="M178" i="47"/>
  <c r="O178" i="47"/>
  <c r="Q178" i="47"/>
  <c r="S178" i="47"/>
  <c r="T178" i="47"/>
  <c r="U178" i="47"/>
  <c r="V178" i="47"/>
  <c r="W178" i="47"/>
  <c r="X178" i="47"/>
  <c r="K179" i="47"/>
  <c r="M179" i="47"/>
  <c r="O179" i="47"/>
  <c r="Q179" i="47"/>
  <c r="S179" i="47"/>
  <c r="T179" i="47"/>
  <c r="U179" i="47"/>
  <c r="V179" i="47"/>
  <c r="W179" i="47"/>
  <c r="X179" i="47"/>
  <c r="K180" i="47"/>
  <c r="M180" i="47"/>
  <c r="O180" i="47"/>
  <c r="Q180" i="47"/>
  <c r="S180" i="47"/>
  <c r="T180" i="47"/>
  <c r="U180" i="47"/>
  <c r="V180" i="47"/>
  <c r="W180" i="47"/>
  <c r="X180" i="47"/>
  <c r="K181" i="47"/>
  <c r="M181" i="47"/>
  <c r="O181" i="47"/>
  <c r="Q181" i="47"/>
  <c r="S181" i="47"/>
  <c r="T181" i="47"/>
  <c r="U181" i="47"/>
  <c r="V181" i="47"/>
  <c r="W181" i="47"/>
  <c r="X181" i="47"/>
  <c r="K182" i="47"/>
  <c r="M182" i="47"/>
  <c r="O182" i="47"/>
  <c r="Q182" i="47"/>
  <c r="S182" i="47"/>
  <c r="T182" i="47"/>
  <c r="U182" i="47"/>
  <c r="V182" i="47"/>
  <c r="W182" i="47"/>
  <c r="X182" i="47"/>
  <c r="K183" i="47"/>
  <c r="M183" i="47"/>
  <c r="O183" i="47"/>
  <c r="Q183" i="47"/>
  <c r="S183" i="47"/>
  <c r="T183" i="47"/>
  <c r="U183" i="47"/>
  <c r="V183" i="47"/>
  <c r="W183" i="47"/>
  <c r="X183" i="47"/>
  <c r="K184" i="47"/>
  <c r="M184" i="47"/>
  <c r="O184" i="47"/>
  <c r="Q184" i="47"/>
  <c r="S184" i="47"/>
  <c r="T184" i="47"/>
  <c r="U184" i="47"/>
  <c r="V184" i="47"/>
  <c r="W184" i="47"/>
  <c r="X184" i="47"/>
  <c r="K185" i="47"/>
  <c r="M185" i="47"/>
  <c r="O185" i="47"/>
  <c r="Q185" i="47"/>
  <c r="S185" i="47"/>
  <c r="T185" i="47"/>
  <c r="U185" i="47"/>
  <c r="V185" i="47"/>
  <c r="W185" i="47"/>
  <c r="X185" i="47"/>
  <c r="K186" i="47"/>
  <c r="M186" i="47"/>
  <c r="O186" i="47"/>
  <c r="Q186" i="47"/>
  <c r="S186" i="47"/>
  <c r="T186" i="47"/>
  <c r="U186" i="47"/>
  <c r="V186" i="47"/>
  <c r="W186" i="47"/>
  <c r="X186" i="47"/>
  <c r="K187" i="47"/>
  <c r="M187" i="47"/>
  <c r="O187" i="47"/>
  <c r="Q187" i="47"/>
  <c r="S187" i="47"/>
  <c r="T187" i="47"/>
  <c r="U187" i="47"/>
  <c r="V187" i="47"/>
  <c r="W187" i="47"/>
  <c r="X187" i="47"/>
  <c r="K188" i="47"/>
  <c r="M188" i="47"/>
  <c r="O188" i="47"/>
  <c r="Q188" i="47"/>
  <c r="S188" i="47"/>
  <c r="T188" i="47"/>
  <c r="U188" i="47"/>
  <c r="V188" i="47"/>
  <c r="W188" i="47"/>
  <c r="X188" i="47"/>
  <c r="K189" i="47"/>
  <c r="M189" i="47"/>
  <c r="O189" i="47"/>
  <c r="Q189" i="47"/>
  <c r="S189" i="47"/>
  <c r="T189" i="47"/>
  <c r="U189" i="47"/>
  <c r="V189" i="47"/>
  <c r="W189" i="47"/>
  <c r="X189" i="47"/>
  <c r="K190" i="47"/>
  <c r="M190" i="47"/>
  <c r="O190" i="47"/>
  <c r="Q190" i="47"/>
  <c r="S190" i="47"/>
  <c r="T190" i="47"/>
  <c r="U190" i="47"/>
  <c r="V190" i="47"/>
  <c r="W190" i="47"/>
  <c r="X190" i="47"/>
  <c r="K191" i="47"/>
  <c r="M191" i="47"/>
  <c r="O191" i="47"/>
  <c r="Q191" i="47"/>
  <c r="S191" i="47"/>
  <c r="T191" i="47"/>
  <c r="U191" i="47"/>
  <c r="V191" i="47"/>
  <c r="W191" i="47"/>
  <c r="X191" i="47"/>
  <c r="K192" i="47"/>
  <c r="M192" i="47"/>
  <c r="O192" i="47"/>
  <c r="Q192" i="47"/>
  <c r="S192" i="47"/>
  <c r="T192" i="47"/>
  <c r="U192" i="47"/>
  <c r="V192" i="47"/>
  <c r="W192" i="47"/>
  <c r="X192" i="47"/>
  <c r="K193" i="47"/>
  <c r="M193" i="47"/>
  <c r="O193" i="47"/>
  <c r="Q193" i="47"/>
  <c r="S193" i="47"/>
  <c r="T193" i="47"/>
  <c r="U193" i="47"/>
  <c r="V193" i="47"/>
  <c r="W193" i="47"/>
  <c r="X193" i="47"/>
  <c r="K194" i="47"/>
  <c r="M194" i="47"/>
  <c r="O194" i="47"/>
  <c r="Q194" i="47"/>
  <c r="S194" i="47"/>
  <c r="T194" i="47"/>
  <c r="U194" i="47"/>
  <c r="V194" i="47"/>
  <c r="W194" i="47"/>
  <c r="X194" i="47"/>
  <c r="K195" i="47"/>
  <c r="M195" i="47"/>
  <c r="O195" i="47"/>
  <c r="Q195" i="47"/>
  <c r="S195" i="47"/>
  <c r="T195" i="47"/>
  <c r="U195" i="47"/>
  <c r="V195" i="47"/>
  <c r="W195" i="47"/>
  <c r="X195" i="47"/>
  <c r="K196" i="47"/>
  <c r="M196" i="47"/>
  <c r="O196" i="47"/>
  <c r="Q196" i="47"/>
  <c r="S196" i="47"/>
  <c r="T196" i="47"/>
  <c r="U196" i="47"/>
  <c r="V196" i="47"/>
  <c r="W196" i="47"/>
  <c r="X196" i="47"/>
  <c r="K197" i="47"/>
  <c r="M197" i="47"/>
  <c r="O197" i="47"/>
  <c r="Q197" i="47"/>
  <c r="S197" i="47"/>
  <c r="T197" i="47"/>
  <c r="U197" i="47"/>
  <c r="V197" i="47"/>
  <c r="W197" i="47"/>
  <c r="X197" i="47"/>
  <c r="K198" i="47"/>
  <c r="M198" i="47"/>
  <c r="O198" i="47"/>
  <c r="Q198" i="47"/>
  <c r="S198" i="47"/>
  <c r="T198" i="47"/>
  <c r="U198" i="47"/>
  <c r="V198" i="47"/>
  <c r="W198" i="47"/>
  <c r="X198" i="47"/>
  <c r="K199" i="47"/>
  <c r="M199" i="47"/>
  <c r="O199" i="47"/>
  <c r="Q199" i="47"/>
  <c r="S199" i="47"/>
  <c r="T199" i="47"/>
  <c r="U199" i="47"/>
  <c r="V199" i="47"/>
  <c r="W199" i="47"/>
  <c r="X199" i="47"/>
  <c r="K200" i="47"/>
  <c r="M200" i="47"/>
  <c r="O200" i="47"/>
  <c r="Q200" i="47"/>
  <c r="S200" i="47"/>
  <c r="T200" i="47"/>
  <c r="U200" i="47"/>
  <c r="V200" i="47"/>
  <c r="W200" i="47"/>
  <c r="X200" i="47"/>
  <c r="K201" i="47"/>
  <c r="M201" i="47"/>
  <c r="O201" i="47"/>
  <c r="Q201" i="47"/>
  <c r="S201" i="47"/>
  <c r="T201" i="47"/>
  <c r="U201" i="47"/>
  <c r="V201" i="47"/>
  <c r="W201" i="47"/>
  <c r="X201" i="47"/>
  <c r="K202" i="47"/>
  <c r="M202" i="47"/>
  <c r="O202" i="47"/>
  <c r="Q202" i="47"/>
  <c r="S202" i="47"/>
  <c r="T202" i="47"/>
  <c r="U202" i="47"/>
  <c r="V202" i="47"/>
  <c r="W202" i="47"/>
  <c r="X202" i="47"/>
  <c r="K203" i="47"/>
  <c r="M203" i="47"/>
  <c r="O203" i="47"/>
  <c r="Q203" i="47"/>
  <c r="S203" i="47"/>
  <c r="T203" i="47"/>
  <c r="U203" i="47"/>
  <c r="V203" i="47"/>
  <c r="W203" i="47"/>
  <c r="X203" i="47"/>
  <c r="K204" i="47"/>
  <c r="M204" i="47"/>
  <c r="O204" i="47"/>
  <c r="Q204" i="47"/>
  <c r="S204" i="47"/>
  <c r="T204" i="47"/>
  <c r="U204" i="47"/>
  <c r="V204" i="47"/>
  <c r="W204" i="47"/>
  <c r="X204" i="47"/>
  <c r="K205" i="47"/>
  <c r="M205" i="47"/>
  <c r="O205" i="47"/>
  <c r="Q205" i="47"/>
  <c r="S205" i="47"/>
  <c r="T205" i="47"/>
  <c r="U205" i="47"/>
  <c r="V205" i="47"/>
  <c r="W205" i="47"/>
  <c r="X205" i="47"/>
  <c r="K206" i="47"/>
  <c r="M206" i="47"/>
  <c r="O206" i="47"/>
  <c r="Q206" i="47"/>
  <c r="S206" i="47"/>
  <c r="T206" i="47"/>
  <c r="U206" i="47"/>
  <c r="V206" i="47"/>
  <c r="W206" i="47"/>
  <c r="X206" i="47"/>
  <c r="K207" i="47"/>
  <c r="M207" i="47"/>
  <c r="O207" i="47"/>
  <c r="Q207" i="47"/>
  <c r="S207" i="47"/>
  <c r="T207" i="47"/>
  <c r="U207" i="47"/>
  <c r="V207" i="47"/>
  <c r="W207" i="47"/>
  <c r="X207" i="47"/>
  <c r="K208" i="47"/>
  <c r="M208" i="47"/>
  <c r="O208" i="47"/>
  <c r="Q208" i="47"/>
  <c r="S208" i="47"/>
  <c r="T208" i="47"/>
  <c r="U208" i="47"/>
  <c r="V208" i="47"/>
  <c r="W208" i="47"/>
  <c r="X208" i="47"/>
  <c r="K209" i="47"/>
  <c r="M209" i="47"/>
  <c r="O209" i="47"/>
  <c r="Q209" i="47"/>
  <c r="S209" i="47"/>
  <c r="T209" i="47"/>
  <c r="U209" i="47"/>
  <c r="V209" i="47"/>
  <c r="W209" i="47"/>
  <c r="X209" i="47"/>
  <c r="K210" i="47"/>
  <c r="M210" i="47"/>
  <c r="O210" i="47"/>
  <c r="Q210" i="47"/>
  <c r="S210" i="47"/>
  <c r="T210" i="47"/>
  <c r="U210" i="47"/>
  <c r="V210" i="47"/>
  <c r="W210" i="47"/>
  <c r="X210" i="47"/>
  <c r="K211" i="47"/>
  <c r="M211" i="47"/>
  <c r="O211" i="47"/>
  <c r="Q211" i="47"/>
  <c r="S211" i="47"/>
  <c r="T211" i="47"/>
  <c r="U211" i="47"/>
  <c r="V211" i="47"/>
  <c r="W211" i="47"/>
  <c r="X211" i="47"/>
  <c r="K212" i="47"/>
  <c r="M212" i="47"/>
  <c r="O212" i="47"/>
  <c r="Q212" i="47"/>
  <c r="S212" i="47"/>
  <c r="T212" i="47"/>
  <c r="U212" i="47"/>
  <c r="V212" i="47"/>
  <c r="W212" i="47"/>
  <c r="X212" i="47"/>
  <c r="K213" i="47"/>
  <c r="M213" i="47"/>
  <c r="O213" i="47"/>
  <c r="Q213" i="47"/>
  <c r="S213" i="47"/>
  <c r="T213" i="47"/>
  <c r="U213" i="47"/>
  <c r="V213" i="47"/>
  <c r="W213" i="47"/>
  <c r="X213" i="47"/>
  <c r="K214" i="47"/>
  <c r="M214" i="47"/>
  <c r="O214" i="47"/>
  <c r="Q214" i="47"/>
  <c r="S214" i="47"/>
  <c r="T214" i="47"/>
  <c r="U214" i="47"/>
  <c r="V214" i="47"/>
  <c r="W214" i="47"/>
  <c r="X214" i="47"/>
  <c r="K215" i="47"/>
  <c r="M215" i="47"/>
  <c r="O215" i="47"/>
  <c r="Q215" i="47"/>
  <c r="S215" i="47"/>
  <c r="T215" i="47"/>
  <c r="U215" i="47"/>
  <c r="V215" i="47"/>
  <c r="W215" i="47"/>
  <c r="X215" i="47"/>
  <c r="K216" i="47"/>
  <c r="M216" i="47"/>
  <c r="O216" i="47"/>
  <c r="Q216" i="47"/>
  <c r="S216" i="47"/>
  <c r="T216" i="47"/>
  <c r="U216" i="47"/>
  <c r="V216" i="47"/>
  <c r="W216" i="47"/>
  <c r="X216" i="47"/>
  <c r="K217" i="47"/>
  <c r="M217" i="47"/>
  <c r="O217" i="47"/>
  <c r="Q217" i="47"/>
  <c r="S217" i="47"/>
  <c r="T217" i="47"/>
  <c r="U217" i="47"/>
  <c r="V217" i="47"/>
  <c r="W217" i="47"/>
  <c r="X217" i="47"/>
  <c r="K218" i="47"/>
  <c r="M218" i="47"/>
  <c r="O218" i="47"/>
  <c r="Q218" i="47"/>
  <c r="S218" i="47"/>
  <c r="T218" i="47"/>
  <c r="U218" i="47"/>
  <c r="V218" i="47"/>
  <c r="W218" i="47"/>
  <c r="X218" i="47"/>
  <c r="K219" i="47"/>
  <c r="M219" i="47"/>
  <c r="O219" i="47"/>
  <c r="Q219" i="47"/>
  <c r="S219" i="47"/>
  <c r="T219" i="47"/>
  <c r="U219" i="47"/>
  <c r="V219" i="47"/>
  <c r="W219" i="47"/>
  <c r="X219" i="47"/>
  <c r="K220" i="47"/>
  <c r="M220" i="47"/>
  <c r="O220" i="47"/>
  <c r="Q220" i="47"/>
  <c r="S220" i="47"/>
  <c r="T220" i="47"/>
  <c r="U220" i="47"/>
  <c r="V220" i="47"/>
  <c r="W220" i="47"/>
  <c r="X220" i="47"/>
  <c r="K221" i="47"/>
  <c r="M221" i="47"/>
  <c r="O221" i="47"/>
  <c r="Q221" i="47"/>
  <c r="S221" i="47"/>
  <c r="T221" i="47"/>
  <c r="U221" i="47"/>
  <c r="V221" i="47"/>
  <c r="W221" i="47"/>
  <c r="X221" i="47"/>
  <c r="K222" i="47"/>
  <c r="M222" i="47"/>
  <c r="O222" i="47"/>
  <c r="Q222" i="47"/>
  <c r="S222" i="47"/>
  <c r="T222" i="47"/>
  <c r="U222" i="47"/>
  <c r="V222" i="47"/>
  <c r="W222" i="47"/>
  <c r="X222" i="47"/>
  <c r="K223" i="47"/>
  <c r="M223" i="47"/>
  <c r="O223" i="47"/>
  <c r="Q223" i="47"/>
  <c r="S223" i="47"/>
  <c r="T223" i="47"/>
  <c r="U223" i="47"/>
  <c r="V223" i="47"/>
  <c r="W223" i="47"/>
  <c r="X223" i="47"/>
  <c r="K224" i="47"/>
  <c r="M224" i="47"/>
  <c r="O224" i="47"/>
  <c r="Q224" i="47"/>
  <c r="S224" i="47"/>
  <c r="T224" i="47"/>
  <c r="U224" i="47"/>
  <c r="V224" i="47"/>
  <c r="W224" i="47"/>
  <c r="X224" i="47"/>
  <c r="K225" i="47"/>
  <c r="M225" i="47"/>
  <c r="O225" i="47"/>
  <c r="Q225" i="47"/>
  <c r="S225" i="47"/>
  <c r="T225" i="47"/>
  <c r="U225" i="47"/>
  <c r="V225" i="47"/>
  <c r="W225" i="47"/>
  <c r="X225" i="47"/>
  <c r="K226" i="47"/>
  <c r="M226" i="47"/>
  <c r="O226" i="47"/>
  <c r="Q226" i="47"/>
  <c r="S226" i="47"/>
  <c r="T226" i="47"/>
  <c r="U226" i="47"/>
  <c r="V226" i="47"/>
  <c r="W226" i="47"/>
  <c r="X226" i="47"/>
  <c r="K227" i="47"/>
  <c r="M227" i="47"/>
  <c r="O227" i="47"/>
  <c r="Q227" i="47"/>
  <c r="S227" i="47"/>
  <c r="T227" i="47"/>
  <c r="U227" i="47"/>
  <c r="V227" i="47"/>
  <c r="W227" i="47"/>
  <c r="X227" i="47"/>
  <c r="K228" i="47"/>
  <c r="M228" i="47"/>
  <c r="O228" i="47"/>
  <c r="Q228" i="47"/>
  <c r="S228" i="47"/>
  <c r="T228" i="47"/>
  <c r="U228" i="47"/>
  <c r="V228" i="47"/>
  <c r="W228" i="47"/>
  <c r="X228" i="47"/>
  <c r="K229" i="47"/>
  <c r="M229" i="47"/>
  <c r="O229" i="47"/>
  <c r="Q229" i="47"/>
  <c r="S229" i="47"/>
  <c r="T229" i="47"/>
  <c r="U229" i="47"/>
  <c r="V229" i="47"/>
  <c r="W229" i="47"/>
  <c r="X229" i="47"/>
  <c r="K230" i="47"/>
  <c r="M230" i="47"/>
  <c r="O230" i="47"/>
  <c r="Q230" i="47"/>
  <c r="S230" i="47"/>
  <c r="T230" i="47"/>
  <c r="U230" i="47"/>
  <c r="V230" i="47"/>
  <c r="W230" i="47"/>
  <c r="X230" i="47"/>
  <c r="K231" i="47"/>
  <c r="M231" i="47"/>
  <c r="O231" i="47"/>
  <c r="Q231" i="47"/>
  <c r="S231" i="47"/>
  <c r="T231" i="47"/>
  <c r="U231" i="47"/>
  <c r="V231" i="47"/>
  <c r="W231" i="47"/>
  <c r="X231" i="47"/>
  <c r="K232" i="47"/>
  <c r="M232" i="47"/>
  <c r="O232" i="47"/>
  <c r="Q232" i="47"/>
  <c r="S232" i="47"/>
  <c r="T232" i="47"/>
  <c r="U232" i="47"/>
  <c r="V232" i="47"/>
  <c r="W232" i="47"/>
  <c r="X232" i="47"/>
  <c r="K233" i="47"/>
  <c r="M233" i="47"/>
  <c r="O233" i="47"/>
  <c r="Q233" i="47"/>
  <c r="S233" i="47"/>
  <c r="T233" i="47"/>
  <c r="U233" i="47"/>
  <c r="V233" i="47"/>
  <c r="W233" i="47"/>
  <c r="X233" i="47"/>
  <c r="K234" i="47"/>
  <c r="M234" i="47"/>
  <c r="O234" i="47"/>
  <c r="Q234" i="47"/>
  <c r="S234" i="47"/>
  <c r="T234" i="47"/>
  <c r="U234" i="47"/>
  <c r="V234" i="47"/>
  <c r="W234" i="47"/>
  <c r="X234" i="47"/>
  <c r="K235" i="47"/>
  <c r="M235" i="47"/>
  <c r="O235" i="47"/>
  <c r="Q235" i="47"/>
  <c r="S235" i="47"/>
  <c r="T235" i="47"/>
  <c r="U235" i="47"/>
  <c r="V235" i="47"/>
  <c r="W235" i="47"/>
  <c r="X235" i="47"/>
  <c r="K236" i="47"/>
  <c r="M236" i="47"/>
  <c r="O236" i="47"/>
  <c r="Q236" i="47"/>
  <c r="S236" i="47"/>
  <c r="T236" i="47"/>
  <c r="U236" i="47"/>
  <c r="V236" i="47"/>
  <c r="W236" i="47"/>
  <c r="X236" i="47"/>
  <c r="K237" i="47"/>
  <c r="M237" i="47"/>
  <c r="O237" i="47"/>
  <c r="Q237" i="47"/>
  <c r="S237" i="47"/>
  <c r="T237" i="47"/>
  <c r="U237" i="47"/>
  <c r="V237" i="47"/>
  <c r="W237" i="47"/>
  <c r="X237" i="47"/>
  <c r="K238" i="47"/>
  <c r="M238" i="47"/>
  <c r="O238" i="47"/>
  <c r="Q238" i="47"/>
  <c r="S238" i="47"/>
  <c r="T238" i="47"/>
  <c r="U238" i="47"/>
  <c r="V238" i="47"/>
  <c r="W238" i="47"/>
  <c r="X238" i="47"/>
  <c r="K239" i="47"/>
  <c r="M239" i="47"/>
  <c r="O239" i="47"/>
  <c r="Q239" i="47"/>
  <c r="S239" i="47"/>
  <c r="T239" i="47"/>
  <c r="U239" i="47"/>
  <c r="V239" i="47"/>
  <c r="W239" i="47"/>
  <c r="X239" i="47"/>
  <c r="K240" i="47"/>
  <c r="M240" i="47"/>
  <c r="O240" i="47"/>
  <c r="Q240" i="47"/>
  <c r="S240" i="47"/>
  <c r="T240" i="47"/>
  <c r="U240" i="47"/>
  <c r="V240" i="47"/>
  <c r="W240" i="47"/>
  <c r="X240" i="47"/>
  <c r="K241" i="47"/>
  <c r="M241" i="47"/>
  <c r="O241" i="47"/>
  <c r="Q241" i="47"/>
  <c r="S241" i="47"/>
  <c r="T241" i="47"/>
  <c r="U241" i="47"/>
  <c r="V241" i="47"/>
  <c r="W241" i="47"/>
  <c r="X241" i="47"/>
  <c r="K242" i="47"/>
  <c r="M242" i="47"/>
  <c r="O242" i="47"/>
  <c r="Q242" i="47"/>
  <c r="S242" i="47"/>
  <c r="T242" i="47"/>
  <c r="U242" i="47"/>
  <c r="V242" i="47"/>
  <c r="W242" i="47"/>
  <c r="X242" i="47"/>
  <c r="K243" i="47"/>
  <c r="M243" i="47"/>
  <c r="O243" i="47"/>
  <c r="Q243" i="47"/>
  <c r="S243" i="47"/>
  <c r="T243" i="47"/>
  <c r="U243" i="47"/>
  <c r="V243" i="47"/>
  <c r="W243" i="47"/>
  <c r="X243" i="47"/>
  <c r="K244" i="47"/>
  <c r="M244" i="47"/>
  <c r="O244" i="47"/>
  <c r="Q244" i="47"/>
  <c r="S244" i="47"/>
  <c r="T244" i="47"/>
  <c r="U244" i="47"/>
  <c r="V244" i="47"/>
  <c r="W244" i="47"/>
  <c r="X244" i="47"/>
  <c r="K245" i="47"/>
  <c r="M245" i="47"/>
  <c r="O245" i="47"/>
  <c r="Q245" i="47"/>
  <c r="S245" i="47"/>
  <c r="T245" i="47"/>
  <c r="U245" i="47"/>
  <c r="V245" i="47"/>
  <c r="W245" i="47"/>
  <c r="X245" i="47"/>
  <c r="K246" i="47"/>
  <c r="M246" i="47"/>
  <c r="O246" i="47"/>
  <c r="Q246" i="47"/>
  <c r="S246" i="47"/>
  <c r="T246" i="47"/>
  <c r="U246" i="47"/>
  <c r="V246" i="47"/>
  <c r="W246" i="47"/>
  <c r="X246" i="47"/>
  <c r="K247" i="47"/>
  <c r="M247" i="47"/>
  <c r="O247" i="47"/>
  <c r="Q247" i="47"/>
  <c r="S247" i="47"/>
  <c r="T247" i="47"/>
  <c r="U247" i="47"/>
  <c r="V247" i="47"/>
  <c r="W247" i="47"/>
  <c r="X247" i="47"/>
  <c r="K248" i="47"/>
  <c r="M248" i="47"/>
  <c r="O248" i="47"/>
  <c r="Q248" i="47"/>
  <c r="S248" i="47"/>
  <c r="T248" i="47"/>
  <c r="U248" i="47"/>
  <c r="V248" i="47"/>
  <c r="W248" i="47"/>
  <c r="X248" i="47"/>
  <c r="K249" i="47"/>
  <c r="M249" i="47"/>
  <c r="O249" i="47"/>
  <c r="Q249" i="47"/>
  <c r="S249" i="47"/>
  <c r="T249" i="47"/>
  <c r="U249" i="47"/>
  <c r="V249" i="47"/>
  <c r="W249" i="47"/>
  <c r="X249" i="47"/>
  <c r="K250" i="47"/>
  <c r="M250" i="47"/>
  <c r="O250" i="47"/>
  <c r="Q250" i="47"/>
  <c r="S250" i="47"/>
  <c r="T250" i="47"/>
  <c r="U250" i="47"/>
  <c r="V250" i="47"/>
  <c r="W250" i="47"/>
  <c r="X250" i="47"/>
  <c r="K251" i="47"/>
  <c r="M251" i="47"/>
  <c r="O251" i="47"/>
  <c r="Q251" i="47"/>
  <c r="S251" i="47"/>
  <c r="T251" i="47"/>
  <c r="U251" i="47"/>
  <c r="V251" i="47"/>
  <c r="W251" i="47"/>
  <c r="X251" i="47"/>
  <c r="K252" i="47"/>
  <c r="M252" i="47"/>
  <c r="O252" i="47"/>
  <c r="Q252" i="47"/>
  <c r="S252" i="47"/>
  <c r="T252" i="47"/>
  <c r="U252" i="47"/>
  <c r="V252" i="47"/>
  <c r="W252" i="47"/>
  <c r="X252" i="47"/>
  <c r="K253" i="47"/>
  <c r="M253" i="47"/>
  <c r="O253" i="47"/>
  <c r="Q253" i="47"/>
  <c r="S253" i="47"/>
  <c r="T253" i="47"/>
  <c r="U253" i="47"/>
  <c r="V253" i="47"/>
  <c r="W253" i="47"/>
  <c r="X253" i="47"/>
  <c r="K254" i="47"/>
  <c r="M254" i="47"/>
  <c r="O254" i="47"/>
  <c r="Q254" i="47"/>
  <c r="S254" i="47"/>
  <c r="T254" i="47"/>
  <c r="U254" i="47"/>
  <c r="V254" i="47"/>
  <c r="W254" i="47"/>
  <c r="X254" i="47"/>
  <c r="K255" i="47"/>
  <c r="M255" i="47"/>
  <c r="O255" i="47"/>
  <c r="Q255" i="47"/>
  <c r="S255" i="47"/>
  <c r="T255" i="47"/>
  <c r="U255" i="47"/>
  <c r="V255" i="47"/>
  <c r="W255" i="47"/>
  <c r="X255" i="47"/>
  <c r="K256" i="47"/>
  <c r="M256" i="47"/>
  <c r="O256" i="47"/>
  <c r="Q256" i="47"/>
  <c r="S256" i="47"/>
  <c r="T256" i="47"/>
  <c r="U256" i="47"/>
  <c r="V256" i="47"/>
  <c r="W256" i="47"/>
  <c r="X256" i="47"/>
  <c r="K257" i="47"/>
  <c r="M257" i="47"/>
  <c r="O257" i="47"/>
  <c r="Q257" i="47"/>
  <c r="S257" i="47"/>
  <c r="T257" i="47"/>
  <c r="U257" i="47"/>
  <c r="V257" i="47"/>
  <c r="W257" i="47"/>
  <c r="X257" i="47"/>
  <c r="K258" i="47"/>
  <c r="M258" i="47"/>
  <c r="O258" i="47"/>
  <c r="Q258" i="47"/>
  <c r="S258" i="47"/>
  <c r="T258" i="47"/>
  <c r="U258" i="47"/>
  <c r="V258" i="47"/>
  <c r="W258" i="47"/>
  <c r="X258" i="47"/>
  <c r="K259" i="47"/>
  <c r="M259" i="47"/>
  <c r="O259" i="47"/>
  <c r="Q259" i="47"/>
  <c r="S259" i="47"/>
  <c r="T259" i="47"/>
  <c r="U259" i="47"/>
  <c r="V259" i="47"/>
  <c r="W259" i="47"/>
  <c r="X259" i="47"/>
  <c r="K260" i="47"/>
  <c r="M260" i="47"/>
  <c r="O260" i="47"/>
  <c r="Q260" i="47"/>
  <c r="S260" i="47"/>
  <c r="T260" i="47"/>
  <c r="U260" i="47"/>
  <c r="V260" i="47"/>
  <c r="W260" i="47"/>
  <c r="X260" i="47"/>
  <c r="K261" i="47"/>
  <c r="M261" i="47"/>
  <c r="O261" i="47"/>
  <c r="Q261" i="47"/>
  <c r="S261" i="47"/>
  <c r="T261" i="47"/>
  <c r="U261" i="47"/>
  <c r="V261" i="47"/>
  <c r="W261" i="47"/>
  <c r="X261" i="47"/>
  <c r="K262" i="47"/>
  <c r="M262" i="47"/>
  <c r="O262" i="47"/>
  <c r="Q262" i="47"/>
  <c r="S262" i="47"/>
  <c r="T262" i="47"/>
  <c r="U262" i="47"/>
  <c r="V262" i="47"/>
  <c r="W262" i="47"/>
  <c r="X262" i="47"/>
  <c r="K263" i="47"/>
  <c r="M263" i="47"/>
  <c r="O263" i="47"/>
  <c r="Q263" i="47"/>
  <c r="S263" i="47"/>
  <c r="T263" i="47"/>
  <c r="U263" i="47"/>
  <c r="V263" i="47"/>
  <c r="W263" i="47"/>
  <c r="X263" i="47"/>
  <c r="K264" i="47"/>
  <c r="M264" i="47"/>
  <c r="O264" i="47"/>
  <c r="Q264" i="47"/>
  <c r="S264" i="47"/>
  <c r="T264" i="47"/>
  <c r="U264" i="47"/>
  <c r="V264" i="47"/>
  <c r="W264" i="47"/>
  <c r="X264" i="47"/>
  <c r="K265" i="47"/>
  <c r="M265" i="47"/>
  <c r="O265" i="47"/>
  <c r="Q265" i="47"/>
  <c r="S265" i="47"/>
  <c r="T265" i="47"/>
  <c r="U265" i="47"/>
  <c r="V265" i="47"/>
  <c r="W265" i="47"/>
  <c r="X265" i="47"/>
  <c r="K266" i="47"/>
  <c r="M266" i="47"/>
  <c r="O266" i="47"/>
  <c r="Q266" i="47"/>
  <c r="S266" i="47"/>
  <c r="T266" i="47"/>
  <c r="U266" i="47"/>
  <c r="V266" i="47"/>
  <c r="W266" i="47"/>
  <c r="X266" i="47"/>
  <c r="K267" i="47"/>
  <c r="M267" i="47"/>
  <c r="O267" i="47"/>
  <c r="Q267" i="47"/>
  <c r="S267" i="47"/>
  <c r="T267" i="47"/>
  <c r="U267" i="47"/>
  <c r="V267" i="47"/>
  <c r="W267" i="47"/>
  <c r="X267" i="47"/>
  <c r="K268" i="47"/>
  <c r="M268" i="47"/>
  <c r="O268" i="47"/>
  <c r="Q268" i="47"/>
  <c r="S268" i="47"/>
  <c r="T268" i="47"/>
  <c r="U268" i="47"/>
  <c r="V268" i="47"/>
  <c r="W268" i="47"/>
  <c r="X268" i="47"/>
  <c r="K269" i="47"/>
  <c r="M269" i="47"/>
  <c r="O269" i="47"/>
  <c r="Q269" i="47"/>
  <c r="S269" i="47"/>
  <c r="T269" i="47"/>
  <c r="U269" i="47"/>
  <c r="V269" i="47"/>
  <c r="W269" i="47"/>
  <c r="X269" i="47"/>
  <c r="K270" i="47"/>
  <c r="M270" i="47"/>
  <c r="O270" i="47"/>
  <c r="Q270" i="47"/>
  <c r="S270" i="47"/>
  <c r="T270" i="47"/>
  <c r="U270" i="47"/>
  <c r="V270" i="47"/>
  <c r="W270" i="47"/>
  <c r="X270" i="47"/>
  <c r="K271" i="47"/>
  <c r="M271" i="47"/>
  <c r="O271" i="47"/>
  <c r="Q271" i="47"/>
  <c r="S271" i="47"/>
  <c r="T271" i="47"/>
  <c r="U271" i="47"/>
  <c r="V271" i="47"/>
  <c r="W271" i="47"/>
  <c r="X271" i="47"/>
  <c r="K272" i="47"/>
  <c r="M272" i="47"/>
  <c r="O272" i="47"/>
  <c r="Q272" i="47"/>
  <c r="S272" i="47"/>
  <c r="T272" i="47"/>
  <c r="U272" i="47"/>
  <c r="V272" i="47"/>
  <c r="W272" i="47"/>
  <c r="X272" i="47"/>
  <c r="K273" i="47"/>
  <c r="M273" i="47"/>
  <c r="O273" i="47"/>
  <c r="Q273" i="47"/>
  <c r="S273" i="47"/>
  <c r="T273" i="47"/>
  <c r="U273" i="47"/>
  <c r="V273" i="47"/>
  <c r="W273" i="47"/>
  <c r="X273" i="47"/>
  <c r="K274" i="47"/>
  <c r="M274" i="47"/>
  <c r="O274" i="47"/>
  <c r="Q274" i="47"/>
  <c r="S274" i="47"/>
  <c r="T274" i="47"/>
  <c r="U274" i="47"/>
  <c r="V274" i="47"/>
  <c r="W274" i="47"/>
  <c r="X274" i="47"/>
  <c r="K275" i="47"/>
  <c r="M275" i="47"/>
  <c r="O275" i="47"/>
  <c r="Q275" i="47"/>
  <c r="S275" i="47"/>
  <c r="T275" i="47"/>
  <c r="U275" i="47"/>
  <c r="V275" i="47"/>
  <c r="W275" i="47"/>
  <c r="X275" i="47"/>
  <c r="K276" i="47"/>
  <c r="M276" i="47"/>
  <c r="O276" i="47"/>
  <c r="Q276" i="47"/>
  <c r="S276" i="47"/>
  <c r="T276" i="47"/>
  <c r="U276" i="47"/>
  <c r="V276" i="47"/>
  <c r="W276" i="47"/>
  <c r="X276" i="47"/>
  <c r="K277" i="47"/>
  <c r="M277" i="47"/>
  <c r="O277" i="47"/>
  <c r="Q277" i="47"/>
  <c r="S277" i="47"/>
  <c r="T277" i="47"/>
  <c r="U277" i="47"/>
  <c r="V277" i="47"/>
  <c r="W277" i="47"/>
  <c r="X277" i="47"/>
  <c r="K278" i="47"/>
  <c r="M278" i="47"/>
  <c r="O278" i="47"/>
  <c r="Q278" i="47"/>
  <c r="S278" i="47"/>
  <c r="T278" i="47"/>
  <c r="U278" i="47"/>
  <c r="V278" i="47"/>
  <c r="W278" i="47"/>
  <c r="X278" i="47"/>
  <c r="K279" i="47"/>
  <c r="M279" i="47"/>
  <c r="O279" i="47"/>
  <c r="Q279" i="47"/>
  <c r="S279" i="47"/>
  <c r="T279" i="47"/>
  <c r="U279" i="47"/>
  <c r="V279" i="47"/>
  <c r="W279" i="47"/>
  <c r="X279" i="47"/>
  <c r="K280" i="47"/>
  <c r="M280" i="47"/>
  <c r="O280" i="47"/>
  <c r="Q280" i="47"/>
  <c r="S280" i="47"/>
  <c r="T280" i="47"/>
  <c r="U280" i="47"/>
  <c r="V280" i="47"/>
  <c r="W280" i="47"/>
  <c r="X280" i="47"/>
  <c r="K281" i="47"/>
  <c r="M281" i="47"/>
  <c r="O281" i="47"/>
  <c r="Q281" i="47"/>
  <c r="S281" i="47"/>
  <c r="T281" i="47"/>
  <c r="U281" i="47"/>
  <c r="V281" i="47"/>
  <c r="W281" i="47"/>
  <c r="X281" i="47"/>
  <c r="K282" i="47"/>
  <c r="M282" i="47"/>
  <c r="O282" i="47"/>
  <c r="Q282" i="47"/>
  <c r="S282" i="47"/>
  <c r="T282" i="47"/>
  <c r="U282" i="47"/>
  <c r="V282" i="47"/>
  <c r="W282" i="47"/>
  <c r="X282" i="47"/>
  <c r="K283" i="47"/>
  <c r="M283" i="47"/>
  <c r="O283" i="47"/>
  <c r="Q283" i="47"/>
  <c r="S283" i="47"/>
  <c r="T283" i="47"/>
  <c r="U283" i="47"/>
  <c r="V283" i="47"/>
  <c r="W283" i="47"/>
  <c r="X283" i="47"/>
  <c r="K284" i="47"/>
  <c r="M284" i="47"/>
  <c r="O284" i="47"/>
  <c r="Q284" i="47"/>
  <c r="S284" i="47"/>
  <c r="T284" i="47"/>
  <c r="U284" i="47"/>
  <c r="V284" i="47"/>
  <c r="W284" i="47"/>
  <c r="X284" i="47"/>
  <c r="K285" i="47"/>
  <c r="M285" i="47"/>
  <c r="O285" i="47"/>
  <c r="Q285" i="47"/>
  <c r="S285" i="47"/>
  <c r="T285" i="47"/>
  <c r="U285" i="47"/>
  <c r="V285" i="47"/>
  <c r="W285" i="47"/>
  <c r="X285" i="47"/>
  <c r="K286" i="47"/>
  <c r="M286" i="47"/>
  <c r="O286" i="47"/>
  <c r="Q286" i="47"/>
  <c r="S286" i="47"/>
  <c r="T286" i="47"/>
  <c r="U286" i="47"/>
  <c r="V286" i="47"/>
  <c r="W286" i="47"/>
  <c r="X286" i="47"/>
  <c r="K287" i="47"/>
  <c r="M287" i="47"/>
  <c r="O287" i="47"/>
  <c r="Q287" i="47"/>
  <c r="S287" i="47"/>
  <c r="T287" i="47"/>
  <c r="U287" i="47"/>
  <c r="V287" i="47"/>
  <c r="W287" i="47"/>
  <c r="X287" i="47"/>
  <c r="K288" i="47"/>
  <c r="M288" i="47"/>
  <c r="O288" i="47"/>
  <c r="Q288" i="47"/>
  <c r="S288" i="47"/>
  <c r="T288" i="47"/>
  <c r="U288" i="47"/>
  <c r="V288" i="47"/>
  <c r="W288" i="47"/>
  <c r="X288" i="47"/>
  <c r="K289" i="47"/>
  <c r="M289" i="47"/>
  <c r="O289" i="47"/>
  <c r="Q289" i="47"/>
  <c r="S289" i="47"/>
  <c r="T289" i="47"/>
  <c r="U289" i="47"/>
  <c r="V289" i="47"/>
  <c r="W289" i="47"/>
  <c r="X289" i="47"/>
  <c r="K290" i="47"/>
  <c r="M290" i="47"/>
  <c r="O290" i="47"/>
  <c r="Q290" i="47"/>
  <c r="S290" i="47"/>
  <c r="T290" i="47"/>
  <c r="U290" i="47"/>
  <c r="V290" i="47"/>
  <c r="W290" i="47"/>
  <c r="X290" i="47"/>
  <c r="K291" i="47"/>
  <c r="M291" i="47"/>
  <c r="O291" i="47"/>
  <c r="Q291" i="47"/>
  <c r="S291" i="47"/>
  <c r="T291" i="47"/>
  <c r="U291" i="47"/>
  <c r="V291" i="47"/>
  <c r="W291" i="47"/>
  <c r="X291" i="47"/>
  <c r="K292" i="47"/>
  <c r="M292" i="47"/>
  <c r="O292" i="47"/>
  <c r="Q292" i="47"/>
  <c r="S292" i="47"/>
  <c r="T292" i="47"/>
  <c r="U292" i="47"/>
  <c r="V292" i="47"/>
  <c r="W292" i="47"/>
  <c r="X292" i="47"/>
  <c r="K293" i="47"/>
  <c r="M293" i="47"/>
  <c r="O293" i="47"/>
  <c r="Q293" i="47"/>
  <c r="S293" i="47"/>
  <c r="T293" i="47"/>
  <c r="U293" i="47"/>
  <c r="V293" i="47"/>
  <c r="W293" i="47"/>
  <c r="X293" i="47"/>
  <c r="K294" i="47"/>
  <c r="M294" i="47"/>
  <c r="O294" i="47"/>
  <c r="Q294" i="47"/>
  <c r="S294" i="47"/>
  <c r="T294" i="47"/>
  <c r="U294" i="47"/>
  <c r="V294" i="47"/>
  <c r="W294" i="47"/>
  <c r="X294" i="47"/>
  <c r="K295" i="47"/>
  <c r="M295" i="47"/>
  <c r="O295" i="47"/>
  <c r="Q295" i="47"/>
  <c r="S295" i="47"/>
  <c r="T295" i="47"/>
  <c r="U295" i="47"/>
  <c r="V295" i="47"/>
  <c r="W295" i="47"/>
  <c r="X295" i="47"/>
  <c r="K296" i="47"/>
  <c r="M296" i="47"/>
  <c r="O296" i="47"/>
  <c r="Q296" i="47"/>
  <c r="S296" i="47"/>
  <c r="T296" i="47"/>
  <c r="U296" i="47"/>
  <c r="V296" i="47"/>
  <c r="W296" i="47"/>
  <c r="X296" i="47"/>
  <c r="K297" i="47"/>
  <c r="M297" i="47"/>
  <c r="O297" i="47"/>
  <c r="Q297" i="47"/>
  <c r="S297" i="47"/>
  <c r="T297" i="47"/>
  <c r="U297" i="47"/>
  <c r="V297" i="47"/>
  <c r="W297" i="47"/>
  <c r="X297" i="47"/>
  <c r="K298" i="47"/>
  <c r="M298" i="47"/>
  <c r="O298" i="47"/>
  <c r="Q298" i="47"/>
  <c r="S298" i="47"/>
  <c r="T298" i="47"/>
  <c r="U298" i="47"/>
  <c r="V298" i="47"/>
  <c r="W298" i="47"/>
  <c r="X298" i="47"/>
  <c r="K299" i="47"/>
  <c r="M299" i="47"/>
  <c r="O299" i="47"/>
  <c r="Q299" i="47"/>
  <c r="S299" i="47"/>
  <c r="T299" i="47"/>
  <c r="U299" i="47"/>
  <c r="V299" i="47"/>
  <c r="W299" i="47"/>
  <c r="X299" i="47"/>
  <c r="K300" i="47"/>
  <c r="M300" i="47"/>
  <c r="O300" i="47"/>
  <c r="Q300" i="47"/>
  <c r="S300" i="47"/>
  <c r="T300" i="47"/>
  <c r="U300" i="47"/>
  <c r="V300" i="47"/>
  <c r="W300" i="47"/>
  <c r="X300" i="47"/>
  <c r="K301" i="47"/>
  <c r="M301" i="47"/>
  <c r="O301" i="47"/>
  <c r="Q301" i="47"/>
  <c r="S301" i="47"/>
  <c r="T301" i="47"/>
  <c r="U301" i="47"/>
  <c r="V301" i="47"/>
  <c r="W301" i="47"/>
  <c r="X301" i="47"/>
  <c r="K302" i="47"/>
  <c r="M302" i="47"/>
  <c r="O302" i="47"/>
  <c r="Q302" i="47"/>
  <c r="S302" i="47"/>
  <c r="T302" i="47"/>
  <c r="U302" i="47"/>
  <c r="V302" i="47"/>
  <c r="W302" i="47"/>
  <c r="X302" i="47"/>
  <c r="K303" i="47"/>
  <c r="M303" i="47"/>
  <c r="O303" i="47"/>
  <c r="Q303" i="47"/>
  <c r="S303" i="47"/>
  <c r="T303" i="47"/>
  <c r="U303" i="47"/>
  <c r="V303" i="47"/>
  <c r="W303" i="47"/>
  <c r="X303" i="47"/>
  <c r="K304" i="47"/>
  <c r="M304" i="47"/>
  <c r="O304" i="47"/>
  <c r="Q304" i="47"/>
  <c r="S304" i="47"/>
  <c r="T304" i="47"/>
  <c r="U304" i="47"/>
  <c r="V304" i="47"/>
  <c r="W304" i="47"/>
  <c r="X304" i="47"/>
  <c r="K305" i="47"/>
  <c r="M305" i="47"/>
  <c r="O305" i="47"/>
  <c r="Q305" i="47"/>
  <c r="S305" i="47"/>
  <c r="T305" i="47"/>
  <c r="U305" i="47"/>
  <c r="V305" i="47"/>
  <c r="W305" i="47"/>
  <c r="X305" i="47"/>
  <c r="K306" i="47"/>
  <c r="M306" i="47"/>
  <c r="O306" i="47"/>
  <c r="Q306" i="47"/>
  <c r="S306" i="47"/>
  <c r="T306" i="47"/>
  <c r="U306" i="47"/>
  <c r="V306" i="47"/>
  <c r="W306" i="47"/>
  <c r="X306" i="47"/>
  <c r="K307" i="47"/>
  <c r="M307" i="47"/>
  <c r="O307" i="47"/>
  <c r="Q307" i="47"/>
  <c r="S307" i="47"/>
  <c r="T307" i="47"/>
  <c r="U307" i="47"/>
  <c r="V307" i="47"/>
  <c r="W307" i="47"/>
  <c r="X307" i="47"/>
  <c r="K308" i="47"/>
  <c r="M308" i="47"/>
  <c r="O308" i="47"/>
  <c r="Q308" i="47"/>
  <c r="S308" i="47"/>
  <c r="T308" i="47"/>
  <c r="U308" i="47"/>
  <c r="V308" i="47"/>
  <c r="W308" i="47"/>
  <c r="X308" i="47"/>
  <c r="K309" i="47"/>
  <c r="M309" i="47"/>
  <c r="O309" i="47"/>
  <c r="Q309" i="47"/>
  <c r="S309" i="47"/>
  <c r="T309" i="47"/>
  <c r="U309" i="47"/>
  <c r="V309" i="47"/>
  <c r="W309" i="47"/>
  <c r="X309" i="47"/>
  <c r="K310" i="47"/>
  <c r="M310" i="47"/>
  <c r="O310" i="47"/>
  <c r="Q310" i="47"/>
  <c r="S310" i="47"/>
  <c r="T310" i="47"/>
  <c r="U310" i="47"/>
  <c r="V310" i="47"/>
  <c r="W310" i="47"/>
  <c r="X310" i="47"/>
  <c r="K311" i="47"/>
  <c r="M311" i="47"/>
  <c r="O311" i="47"/>
  <c r="Q311" i="47"/>
  <c r="S311" i="47"/>
  <c r="T311" i="47"/>
  <c r="U311" i="47"/>
  <c r="V311" i="47"/>
  <c r="W311" i="47"/>
  <c r="X311" i="47"/>
  <c r="K312" i="47"/>
  <c r="M312" i="47"/>
  <c r="O312" i="47"/>
  <c r="Q312" i="47"/>
  <c r="S312" i="47"/>
  <c r="T312" i="47"/>
  <c r="U312" i="47"/>
  <c r="V312" i="47"/>
  <c r="W312" i="47"/>
  <c r="X312" i="47"/>
  <c r="K313" i="47"/>
  <c r="M313" i="47"/>
  <c r="O313" i="47"/>
  <c r="Q313" i="47"/>
  <c r="S313" i="47"/>
  <c r="T313" i="47"/>
  <c r="U313" i="47"/>
  <c r="V313" i="47"/>
  <c r="W313" i="47"/>
  <c r="X313" i="47"/>
  <c r="K314" i="47"/>
  <c r="M314" i="47"/>
  <c r="O314" i="47"/>
  <c r="Q314" i="47"/>
  <c r="S314" i="47"/>
  <c r="T314" i="47"/>
  <c r="U314" i="47"/>
  <c r="V314" i="47"/>
  <c r="W314" i="47"/>
  <c r="X314" i="47"/>
  <c r="K315" i="47"/>
  <c r="M315" i="47"/>
  <c r="O315" i="47"/>
  <c r="Q315" i="47"/>
  <c r="S315" i="47"/>
  <c r="T315" i="47"/>
  <c r="U315" i="47"/>
  <c r="V315" i="47"/>
  <c r="W315" i="47"/>
  <c r="X315" i="47"/>
  <c r="K316" i="47"/>
  <c r="M316" i="47"/>
  <c r="O316" i="47"/>
  <c r="Q316" i="47"/>
  <c r="S316" i="47"/>
  <c r="T316" i="47"/>
  <c r="U316" i="47"/>
  <c r="V316" i="47"/>
  <c r="W316" i="47"/>
  <c r="X316" i="47"/>
  <c r="K317" i="47"/>
  <c r="M317" i="47"/>
  <c r="O317" i="47"/>
  <c r="Q317" i="47"/>
  <c r="S317" i="47"/>
  <c r="T317" i="47"/>
  <c r="U317" i="47"/>
  <c r="V317" i="47"/>
  <c r="W317" i="47"/>
  <c r="X317" i="47"/>
  <c r="K318" i="47"/>
  <c r="M318" i="47"/>
  <c r="O318" i="47"/>
  <c r="Q318" i="47"/>
  <c r="S318" i="47"/>
  <c r="T318" i="47"/>
  <c r="U318" i="47"/>
  <c r="V318" i="47"/>
  <c r="W318" i="47"/>
  <c r="X318" i="47"/>
  <c r="K319" i="47"/>
  <c r="M319" i="47"/>
  <c r="O319" i="47"/>
  <c r="Q319" i="47"/>
  <c r="S319" i="47"/>
  <c r="T319" i="47"/>
  <c r="U319" i="47"/>
  <c r="V319" i="47"/>
  <c r="W319" i="47"/>
  <c r="X319" i="47"/>
  <c r="K320" i="47"/>
  <c r="M320" i="47"/>
  <c r="O320" i="47"/>
  <c r="Q320" i="47"/>
  <c r="S320" i="47"/>
  <c r="T320" i="47"/>
  <c r="U320" i="47"/>
  <c r="V320" i="47"/>
  <c r="W320" i="47"/>
  <c r="X320" i="47"/>
  <c r="K321" i="47"/>
  <c r="M321" i="47"/>
  <c r="O321" i="47"/>
  <c r="Q321" i="47"/>
  <c r="S321" i="47"/>
  <c r="T321" i="47"/>
  <c r="U321" i="47"/>
  <c r="V321" i="47"/>
  <c r="W321" i="47"/>
  <c r="X321" i="47"/>
  <c r="K322" i="47"/>
  <c r="M322" i="47"/>
  <c r="O322" i="47"/>
  <c r="Q322" i="47"/>
  <c r="S322" i="47"/>
  <c r="T322" i="47"/>
  <c r="U322" i="47"/>
  <c r="V322" i="47"/>
  <c r="W322" i="47"/>
  <c r="X322" i="47"/>
  <c r="K323" i="47"/>
  <c r="M323" i="47"/>
  <c r="O323" i="47"/>
  <c r="Q323" i="47"/>
  <c r="S323" i="47"/>
  <c r="T323" i="47"/>
  <c r="U323" i="47"/>
  <c r="V323" i="47"/>
  <c r="W323" i="47"/>
  <c r="X323" i="47"/>
  <c r="K324" i="47"/>
  <c r="M324" i="47"/>
  <c r="O324" i="47"/>
  <c r="Q324" i="47"/>
  <c r="S324" i="47"/>
  <c r="T324" i="47"/>
  <c r="U324" i="47"/>
  <c r="V324" i="47"/>
  <c r="W324" i="47"/>
  <c r="X324" i="47"/>
  <c r="K325" i="47"/>
  <c r="M325" i="47"/>
  <c r="O325" i="47"/>
  <c r="Q325" i="47"/>
  <c r="S325" i="47"/>
  <c r="T325" i="47"/>
  <c r="U325" i="47"/>
  <c r="V325" i="47"/>
  <c r="W325" i="47"/>
  <c r="X325" i="47"/>
  <c r="K326" i="47"/>
  <c r="M326" i="47"/>
  <c r="O326" i="47"/>
  <c r="Q326" i="47"/>
  <c r="S326" i="47"/>
  <c r="T326" i="47"/>
  <c r="U326" i="47"/>
  <c r="V326" i="47"/>
  <c r="W326" i="47"/>
  <c r="X326" i="47"/>
  <c r="K327" i="47"/>
  <c r="M327" i="47"/>
  <c r="O327" i="47"/>
  <c r="Q327" i="47"/>
  <c r="S327" i="47"/>
  <c r="T327" i="47"/>
  <c r="U327" i="47"/>
  <c r="V327" i="47"/>
  <c r="W327" i="47"/>
  <c r="X327" i="47"/>
  <c r="K328" i="47"/>
  <c r="M328" i="47"/>
  <c r="O328" i="47"/>
  <c r="Q328" i="47"/>
  <c r="S328" i="47"/>
  <c r="T328" i="47"/>
  <c r="U328" i="47"/>
  <c r="V328" i="47"/>
  <c r="W328" i="47"/>
  <c r="X328" i="47"/>
  <c r="K329" i="47"/>
  <c r="M329" i="47"/>
  <c r="O329" i="47"/>
  <c r="Q329" i="47"/>
  <c r="S329" i="47"/>
  <c r="T329" i="47"/>
  <c r="U329" i="47"/>
  <c r="V329" i="47"/>
  <c r="W329" i="47"/>
  <c r="X329" i="47"/>
  <c r="K330" i="47"/>
  <c r="M330" i="47"/>
  <c r="O330" i="47"/>
  <c r="Q330" i="47"/>
  <c r="S330" i="47"/>
  <c r="T330" i="47"/>
  <c r="U330" i="47"/>
  <c r="V330" i="47"/>
  <c r="W330" i="47"/>
  <c r="X330" i="47"/>
  <c r="K331" i="47"/>
  <c r="M331" i="47"/>
  <c r="O331" i="47"/>
  <c r="Q331" i="47"/>
  <c r="S331" i="47"/>
  <c r="T331" i="47"/>
  <c r="U331" i="47"/>
  <c r="V331" i="47"/>
  <c r="W331" i="47"/>
  <c r="X331" i="47"/>
  <c r="K332" i="47"/>
  <c r="M332" i="47"/>
  <c r="O332" i="47"/>
  <c r="Q332" i="47"/>
  <c r="S332" i="47"/>
  <c r="T332" i="47"/>
  <c r="U332" i="47"/>
  <c r="V332" i="47"/>
  <c r="W332" i="47"/>
  <c r="X332" i="47"/>
  <c r="K333" i="47"/>
  <c r="M333" i="47"/>
  <c r="O333" i="47"/>
  <c r="Q333" i="47"/>
  <c r="S333" i="47"/>
  <c r="T333" i="47"/>
  <c r="U333" i="47"/>
  <c r="V333" i="47"/>
  <c r="W333" i="47"/>
  <c r="X333" i="47"/>
  <c r="K334" i="47"/>
  <c r="M334" i="47"/>
  <c r="O334" i="47"/>
  <c r="Q334" i="47"/>
  <c r="S334" i="47"/>
  <c r="T334" i="47"/>
  <c r="U334" i="47"/>
  <c r="V334" i="47"/>
  <c r="W334" i="47"/>
  <c r="X334" i="47"/>
  <c r="K335" i="47"/>
  <c r="M335" i="47"/>
  <c r="O335" i="47"/>
  <c r="Q335" i="47"/>
  <c r="S335" i="47"/>
  <c r="T335" i="47"/>
  <c r="U335" i="47"/>
  <c r="V335" i="47"/>
  <c r="W335" i="47"/>
  <c r="X335" i="47"/>
  <c r="K336" i="47"/>
  <c r="M336" i="47"/>
  <c r="O336" i="47"/>
  <c r="Q336" i="47"/>
  <c r="S336" i="47"/>
  <c r="T336" i="47"/>
  <c r="U336" i="47"/>
  <c r="V336" i="47"/>
  <c r="W336" i="47"/>
  <c r="X336" i="47"/>
  <c r="K337" i="47"/>
  <c r="M337" i="47"/>
  <c r="O337" i="47"/>
  <c r="Q337" i="47"/>
  <c r="S337" i="47"/>
  <c r="T337" i="47"/>
  <c r="U337" i="47"/>
  <c r="V337" i="47"/>
  <c r="W337" i="47"/>
  <c r="X337" i="47"/>
  <c r="K338" i="47"/>
  <c r="M338" i="47"/>
  <c r="O338" i="47"/>
  <c r="Q338" i="47"/>
  <c r="S338" i="47"/>
  <c r="T338" i="47"/>
  <c r="U338" i="47"/>
  <c r="V338" i="47"/>
  <c r="W338" i="47"/>
  <c r="X338" i="47"/>
  <c r="K339" i="47"/>
  <c r="M339" i="47"/>
  <c r="O339" i="47"/>
  <c r="Q339" i="47"/>
  <c r="S339" i="47"/>
  <c r="T339" i="47"/>
  <c r="U339" i="47"/>
  <c r="V339" i="47"/>
  <c r="W339" i="47"/>
  <c r="X339" i="47"/>
  <c r="K340" i="47"/>
  <c r="M340" i="47"/>
  <c r="O340" i="47"/>
  <c r="Q340" i="47"/>
  <c r="S340" i="47"/>
  <c r="T340" i="47"/>
  <c r="U340" i="47"/>
  <c r="V340" i="47"/>
  <c r="W340" i="47"/>
  <c r="X340" i="47"/>
  <c r="K341" i="47"/>
  <c r="M341" i="47"/>
  <c r="O341" i="47"/>
  <c r="Q341" i="47"/>
  <c r="S341" i="47"/>
  <c r="T341" i="47"/>
  <c r="U341" i="47"/>
  <c r="V341" i="47"/>
  <c r="W341" i="47"/>
  <c r="X341" i="47"/>
  <c r="K342" i="47"/>
  <c r="M342" i="47"/>
  <c r="O342" i="47"/>
  <c r="Q342" i="47"/>
  <c r="S342" i="47"/>
  <c r="T342" i="47"/>
  <c r="U342" i="47"/>
  <c r="V342" i="47"/>
  <c r="W342" i="47"/>
  <c r="X342" i="47"/>
  <c r="K343" i="47"/>
  <c r="M343" i="47"/>
  <c r="O343" i="47"/>
  <c r="Q343" i="47"/>
  <c r="S343" i="47"/>
  <c r="T343" i="47"/>
  <c r="U343" i="47"/>
  <c r="V343" i="47"/>
  <c r="W343" i="47"/>
  <c r="X343" i="47"/>
  <c r="K344" i="47"/>
  <c r="M344" i="47"/>
  <c r="O344" i="47"/>
  <c r="Q344" i="47"/>
  <c r="S344" i="47"/>
  <c r="T344" i="47"/>
  <c r="U344" i="47"/>
  <c r="V344" i="47"/>
  <c r="W344" i="47"/>
  <c r="X344" i="47"/>
  <c r="K345" i="47"/>
  <c r="M345" i="47"/>
  <c r="O345" i="47"/>
  <c r="Q345" i="47"/>
  <c r="S345" i="47"/>
  <c r="T345" i="47"/>
  <c r="U345" i="47"/>
  <c r="V345" i="47"/>
  <c r="W345" i="47"/>
  <c r="X345" i="47"/>
  <c r="K346" i="47"/>
  <c r="M346" i="47"/>
  <c r="O346" i="47"/>
  <c r="Q346" i="47"/>
  <c r="S346" i="47"/>
  <c r="T346" i="47"/>
  <c r="U346" i="47"/>
  <c r="V346" i="47"/>
  <c r="W346" i="47"/>
  <c r="X346" i="47"/>
  <c r="K347" i="47"/>
  <c r="M347" i="47"/>
  <c r="O347" i="47"/>
  <c r="Q347" i="47"/>
  <c r="S347" i="47"/>
  <c r="T347" i="47"/>
  <c r="U347" i="47"/>
  <c r="V347" i="47"/>
  <c r="W347" i="47"/>
  <c r="X347" i="47"/>
  <c r="K348" i="47"/>
  <c r="M348" i="47"/>
  <c r="O348" i="47"/>
  <c r="Q348" i="47"/>
  <c r="S348" i="47"/>
  <c r="T348" i="47"/>
  <c r="U348" i="47"/>
  <c r="V348" i="47"/>
  <c r="W348" i="47"/>
  <c r="X348" i="47"/>
  <c r="K349" i="47"/>
  <c r="M349" i="47"/>
  <c r="O349" i="47"/>
  <c r="Q349" i="47"/>
  <c r="S349" i="47"/>
  <c r="T349" i="47"/>
  <c r="U349" i="47"/>
  <c r="V349" i="47"/>
  <c r="W349" i="47"/>
  <c r="X349" i="47"/>
  <c r="K350" i="47"/>
  <c r="M350" i="47"/>
  <c r="O350" i="47"/>
  <c r="Q350" i="47"/>
  <c r="S350" i="47"/>
  <c r="T350" i="47"/>
  <c r="U350" i="47"/>
  <c r="V350" i="47"/>
  <c r="W350" i="47"/>
  <c r="X350" i="47"/>
  <c r="K351" i="47"/>
  <c r="M351" i="47"/>
  <c r="O351" i="47"/>
  <c r="Q351" i="47"/>
  <c r="S351" i="47"/>
  <c r="T351" i="47"/>
  <c r="U351" i="47"/>
  <c r="V351" i="47"/>
  <c r="W351" i="47"/>
  <c r="X351" i="47"/>
  <c r="K352" i="47"/>
  <c r="M352" i="47"/>
  <c r="O352" i="47"/>
  <c r="Q352" i="47"/>
  <c r="S352" i="47"/>
  <c r="T352" i="47"/>
  <c r="U352" i="47"/>
  <c r="V352" i="47"/>
  <c r="W352" i="47"/>
  <c r="X352" i="47"/>
  <c r="K353" i="47"/>
  <c r="M353" i="47"/>
  <c r="O353" i="47"/>
  <c r="Q353" i="47"/>
  <c r="S353" i="47"/>
  <c r="T353" i="47"/>
  <c r="U353" i="47"/>
  <c r="V353" i="47"/>
  <c r="W353" i="47"/>
  <c r="X353" i="47"/>
  <c r="K354" i="47"/>
  <c r="M354" i="47"/>
  <c r="O354" i="47"/>
  <c r="Q354" i="47"/>
  <c r="S354" i="47"/>
  <c r="T354" i="47"/>
  <c r="U354" i="47"/>
  <c r="V354" i="47"/>
  <c r="W354" i="47"/>
  <c r="X354" i="47"/>
  <c r="K355" i="47"/>
  <c r="M355" i="47"/>
  <c r="O355" i="47"/>
  <c r="Q355" i="47"/>
  <c r="S355" i="47"/>
  <c r="T355" i="47"/>
  <c r="U355" i="47"/>
  <c r="V355" i="47"/>
  <c r="W355" i="47"/>
  <c r="X355" i="47"/>
  <c r="K356" i="47"/>
  <c r="M356" i="47"/>
  <c r="O356" i="47"/>
  <c r="Q356" i="47"/>
  <c r="S356" i="47"/>
  <c r="T356" i="47"/>
  <c r="U356" i="47"/>
  <c r="V356" i="47"/>
  <c r="W356" i="47"/>
  <c r="X356" i="47"/>
  <c r="K357" i="47"/>
  <c r="M357" i="47"/>
  <c r="O357" i="47"/>
  <c r="Q357" i="47"/>
  <c r="S357" i="47"/>
  <c r="T357" i="47"/>
  <c r="U357" i="47"/>
  <c r="V357" i="47"/>
  <c r="W357" i="47"/>
  <c r="X357" i="47"/>
  <c r="K358" i="47"/>
  <c r="M358" i="47"/>
  <c r="O358" i="47"/>
  <c r="Q358" i="47"/>
  <c r="S358" i="47"/>
  <c r="T358" i="47"/>
  <c r="U358" i="47"/>
  <c r="V358" i="47"/>
  <c r="W358" i="47"/>
  <c r="X358" i="47"/>
  <c r="K359" i="47"/>
  <c r="M359" i="47"/>
  <c r="O359" i="47"/>
  <c r="Q359" i="47"/>
  <c r="S359" i="47"/>
  <c r="T359" i="47"/>
  <c r="U359" i="47"/>
  <c r="V359" i="47"/>
  <c r="W359" i="47"/>
  <c r="X359" i="47"/>
  <c r="K360" i="47"/>
  <c r="M360" i="47"/>
  <c r="O360" i="47"/>
  <c r="Q360" i="47"/>
  <c r="S360" i="47"/>
  <c r="T360" i="47"/>
  <c r="U360" i="47"/>
  <c r="V360" i="47"/>
  <c r="W360" i="47"/>
  <c r="X360" i="47"/>
  <c r="K361" i="47"/>
  <c r="M361" i="47"/>
  <c r="O361" i="47"/>
  <c r="Q361" i="47"/>
  <c r="S361" i="47"/>
  <c r="T361" i="47"/>
  <c r="U361" i="47"/>
  <c r="V361" i="47"/>
  <c r="W361" i="47"/>
  <c r="X361" i="47"/>
  <c r="K362" i="47"/>
  <c r="M362" i="47"/>
  <c r="O362" i="47"/>
  <c r="Q362" i="47"/>
  <c r="S362" i="47"/>
  <c r="T362" i="47"/>
  <c r="U362" i="47"/>
  <c r="V362" i="47"/>
  <c r="W362" i="47"/>
  <c r="X362" i="47"/>
  <c r="K363" i="47"/>
  <c r="M363" i="47"/>
  <c r="O363" i="47"/>
  <c r="Q363" i="47"/>
  <c r="S363" i="47"/>
  <c r="T363" i="47"/>
  <c r="U363" i="47"/>
  <c r="V363" i="47"/>
  <c r="W363" i="47"/>
  <c r="X363" i="47"/>
  <c r="K364" i="47"/>
  <c r="M364" i="47"/>
  <c r="O364" i="47"/>
  <c r="Q364" i="47"/>
  <c r="S364" i="47"/>
  <c r="T364" i="47"/>
  <c r="U364" i="47"/>
  <c r="V364" i="47"/>
  <c r="W364" i="47"/>
  <c r="X364" i="47"/>
  <c r="K365" i="47"/>
  <c r="M365" i="47"/>
  <c r="O365" i="47"/>
  <c r="Q365" i="47"/>
  <c r="S365" i="47"/>
  <c r="T365" i="47"/>
  <c r="U365" i="47"/>
  <c r="V365" i="47"/>
  <c r="W365" i="47"/>
  <c r="X365" i="47"/>
  <c r="K366" i="47"/>
  <c r="M366" i="47"/>
  <c r="O366" i="47"/>
  <c r="Q366" i="47"/>
  <c r="S366" i="47"/>
  <c r="T366" i="47"/>
  <c r="U366" i="47"/>
  <c r="V366" i="47"/>
  <c r="W366" i="47"/>
  <c r="X366" i="47"/>
  <c r="K367" i="47"/>
  <c r="M367" i="47"/>
  <c r="O367" i="47"/>
  <c r="Q367" i="47"/>
  <c r="S367" i="47"/>
  <c r="T367" i="47"/>
  <c r="U367" i="47"/>
  <c r="V367" i="47"/>
  <c r="W367" i="47"/>
  <c r="X367" i="47"/>
  <c r="K368" i="47"/>
  <c r="M368" i="47"/>
  <c r="O368" i="47"/>
  <c r="Q368" i="47"/>
  <c r="S368" i="47"/>
  <c r="T368" i="47"/>
  <c r="U368" i="47"/>
  <c r="V368" i="47"/>
  <c r="W368" i="47"/>
  <c r="X368" i="47"/>
  <c r="K369" i="47"/>
  <c r="M369" i="47"/>
  <c r="O369" i="47"/>
  <c r="Q369" i="47"/>
  <c r="S369" i="47"/>
  <c r="T369" i="47"/>
  <c r="U369" i="47"/>
  <c r="V369" i="47"/>
  <c r="W369" i="47"/>
  <c r="X369" i="47"/>
  <c r="K370" i="47"/>
  <c r="M370" i="47"/>
  <c r="O370" i="47"/>
  <c r="Q370" i="47"/>
  <c r="S370" i="47"/>
  <c r="T370" i="47"/>
  <c r="U370" i="47"/>
  <c r="V370" i="47"/>
  <c r="W370" i="47"/>
  <c r="X370" i="47"/>
  <c r="K371" i="47"/>
  <c r="M371" i="47"/>
  <c r="O371" i="47"/>
  <c r="Q371" i="47"/>
  <c r="S371" i="47"/>
  <c r="T371" i="47"/>
  <c r="U371" i="47"/>
  <c r="V371" i="47"/>
  <c r="W371" i="47"/>
  <c r="X371" i="47"/>
  <c r="K372" i="47"/>
  <c r="M372" i="47"/>
  <c r="O372" i="47"/>
  <c r="Q372" i="47"/>
  <c r="S372" i="47"/>
  <c r="T372" i="47"/>
  <c r="U372" i="47"/>
  <c r="V372" i="47"/>
  <c r="W372" i="47"/>
  <c r="X372" i="47"/>
  <c r="K373" i="47"/>
  <c r="M373" i="47"/>
  <c r="O373" i="47"/>
  <c r="Q373" i="47"/>
  <c r="S373" i="47"/>
  <c r="T373" i="47"/>
  <c r="U373" i="47"/>
  <c r="V373" i="47"/>
  <c r="W373" i="47"/>
  <c r="X373" i="47"/>
  <c r="K374" i="47"/>
  <c r="M374" i="47"/>
  <c r="O374" i="47"/>
  <c r="Q374" i="47"/>
  <c r="S374" i="47"/>
  <c r="T374" i="47"/>
  <c r="U374" i="47"/>
  <c r="V374" i="47"/>
  <c r="W374" i="47"/>
  <c r="X374" i="47"/>
  <c r="K375" i="47"/>
  <c r="M375" i="47"/>
  <c r="O375" i="47"/>
  <c r="Q375" i="47"/>
  <c r="S375" i="47"/>
  <c r="T375" i="47"/>
  <c r="U375" i="47"/>
  <c r="V375" i="47"/>
  <c r="W375" i="47"/>
  <c r="X375" i="47"/>
  <c r="K376" i="47"/>
  <c r="M376" i="47"/>
  <c r="O376" i="47"/>
  <c r="Q376" i="47"/>
  <c r="S376" i="47"/>
  <c r="T376" i="47"/>
  <c r="U376" i="47"/>
  <c r="V376" i="47"/>
  <c r="W376" i="47"/>
  <c r="X376" i="47"/>
  <c r="K377" i="47"/>
  <c r="M377" i="47"/>
  <c r="O377" i="47"/>
  <c r="Q377" i="47"/>
  <c r="S377" i="47"/>
  <c r="T377" i="47"/>
  <c r="U377" i="47"/>
  <c r="V377" i="47"/>
  <c r="W377" i="47"/>
  <c r="X377" i="47"/>
  <c r="X375" i="46"/>
  <c r="W375" i="46"/>
  <c r="V375" i="46"/>
  <c r="U375" i="46"/>
  <c r="T375" i="46"/>
  <c r="S375" i="46"/>
  <c r="Q375" i="46"/>
  <c r="O375" i="46"/>
  <c r="M375" i="46"/>
  <c r="K375" i="46"/>
  <c r="X374" i="46"/>
  <c r="W374" i="46"/>
  <c r="V374" i="46"/>
  <c r="U374" i="46"/>
  <c r="T374" i="46"/>
  <c r="S374" i="46"/>
  <c r="Q374" i="46"/>
  <c r="O374" i="46"/>
  <c r="M374" i="46"/>
  <c r="K374" i="46"/>
  <c r="X373" i="46"/>
  <c r="W373" i="46"/>
  <c r="V373" i="46"/>
  <c r="U373" i="46"/>
  <c r="T373" i="46"/>
  <c r="S373" i="46"/>
  <c r="Q373" i="46"/>
  <c r="O373" i="46"/>
  <c r="M373" i="46"/>
  <c r="K373" i="46"/>
  <c r="X372" i="46"/>
  <c r="W372" i="46"/>
  <c r="V372" i="46"/>
  <c r="U372" i="46"/>
  <c r="T372" i="46"/>
  <c r="S372" i="46"/>
  <c r="Q372" i="46"/>
  <c r="O372" i="46"/>
  <c r="M372" i="46"/>
  <c r="K372" i="46"/>
  <c r="X371" i="46"/>
  <c r="W371" i="46"/>
  <c r="V371" i="46"/>
  <c r="U371" i="46"/>
  <c r="T371" i="46"/>
  <c r="S371" i="46"/>
  <c r="Q371" i="46"/>
  <c r="O371" i="46"/>
  <c r="M371" i="46"/>
  <c r="K371" i="46"/>
  <c r="X370" i="46"/>
  <c r="W370" i="46"/>
  <c r="V370" i="46"/>
  <c r="U370" i="46"/>
  <c r="T370" i="46"/>
  <c r="S370" i="46"/>
  <c r="Q370" i="46"/>
  <c r="O370" i="46"/>
  <c r="M370" i="46"/>
  <c r="K370" i="46"/>
  <c r="X369" i="46"/>
  <c r="W369" i="46"/>
  <c r="V369" i="46"/>
  <c r="U369" i="46"/>
  <c r="T369" i="46"/>
  <c r="S369" i="46"/>
  <c r="Q369" i="46"/>
  <c r="O369" i="46"/>
  <c r="M369" i="46"/>
  <c r="K369" i="46"/>
  <c r="X368" i="46"/>
  <c r="W368" i="46"/>
  <c r="V368" i="46"/>
  <c r="U368" i="46"/>
  <c r="T368" i="46"/>
  <c r="S368" i="46"/>
  <c r="Q368" i="46"/>
  <c r="O368" i="46"/>
  <c r="M368" i="46"/>
  <c r="K368" i="46"/>
  <c r="X367" i="46"/>
  <c r="W367" i="46"/>
  <c r="V367" i="46"/>
  <c r="U367" i="46"/>
  <c r="T367" i="46"/>
  <c r="S367" i="46"/>
  <c r="Q367" i="46"/>
  <c r="O367" i="46"/>
  <c r="M367" i="46"/>
  <c r="K367" i="46"/>
  <c r="X366" i="46"/>
  <c r="W366" i="46"/>
  <c r="V366" i="46"/>
  <c r="U366" i="46"/>
  <c r="T366" i="46"/>
  <c r="S366" i="46"/>
  <c r="Q366" i="46"/>
  <c r="O366" i="46"/>
  <c r="M366" i="46"/>
  <c r="K366" i="46"/>
  <c r="X365" i="46"/>
  <c r="W365" i="46"/>
  <c r="V365" i="46"/>
  <c r="U365" i="46"/>
  <c r="T365" i="46"/>
  <c r="S365" i="46"/>
  <c r="Q365" i="46"/>
  <c r="O365" i="46"/>
  <c r="M365" i="46"/>
  <c r="K365" i="46"/>
  <c r="X364" i="46"/>
  <c r="W364" i="46"/>
  <c r="V364" i="46"/>
  <c r="U364" i="46"/>
  <c r="T364" i="46"/>
  <c r="S364" i="46"/>
  <c r="Q364" i="46"/>
  <c r="O364" i="46"/>
  <c r="M364" i="46"/>
  <c r="K364" i="46"/>
  <c r="X363" i="46"/>
  <c r="W363" i="46"/>
  <c r="V363" i="46"/>
  <c r="U363" i="46"/>
  <c r="T363" i="46"/>
  <c r="S363" i="46"/>
  <c r="Q363" i="46"/>
  <c r="O363" i="46"/>
  <c r="M363" i="46"/>
  <c r="K363" i="46"/>
  <c r="X362" i="46"/>
  <c r="W362" i="46"/>
  <c r="V362" i="46"/>
  <c r="U362" i="46"/>
  <c r="T362" i="46"/>
  <c r="S362" i="46"/>
  <c r="Q362" i="46"/>
  <c r="O362" i="46"/>
  <c r="M362" i="46"/>
  <c r="K362" i="46"/>
  <c r="X361" i="46"/>
  <c r="W361" i="46"/>
  <c r="V361" i="46"/>
  <c r="U361" i="46"/>
  <c r="T361" i="46"/>
  <c r="S361" i="46"/>
  <c r="Q361" i="46"/>
  <c r="O361" i="46"/>
  <c r="M361" i="46"/>
  <c r="K361" i="46"/>
  <c r="X360" i="46"/>
  <c r="W360" i="46"/>
  <c r="V360" i="46"/>
  <c r="U360" i="46"/>
  <c r="T360" i="46"/>
  <c r="S360" i="46"/>
  <c r="Q360" i="46"/>
  <c r="O360" i="46"/>
  <c r="M360" i="46"/>
  <c r="K360" i="46"/>
  <c r="X359" i="46"/>
  <c r="W359" i="46"/>
  <c r="V359" i="46"/>
  <c r="U359" i="46"/>
  <c r="T359" i="46"/>
  <c r="S359" i="46"/>
  <c r="Q359" i="46"/>
  <c r="O359" i="46"/>
  <c r="M359" i="46"/>
  <c r="K359" i="46"/>
  <c r="X358" i="46"/>
  <c r="W358" i="46"/>
  <c r="V358" i="46"/>
  <c r="U358" i="46"/>
  <c r="T358" i="46"/>
  <c r="S358" i="46"/>
  <c r="Q358" i="46"/>
  <c r="O358" i="46"/>
  <c r="M358" i="46"/>
  <c r="K358" i="46"/>
  <c r="X357" i="46"/>
  <c r="W357" i="46"/>
  <c r="V357" i="46"/>
  <c r="U357" i="46"/>
  <c r="T357" i="46"/>
  <c r="S357" i="46"/>
  <c r="Q357" i="46"/>
  <c r="O357" i="46"/>
  <c r="M357" i="46"/>
  <c r="K357" i="46"/>
  <c r="X356" i="46"/>
  <c r="W356" i="46"/>
  <c r="V356" i="46"/>
  <c r="U356" i="46"/>
  <c r="T356" i="46"/>
  <c r="S356" i="46"/>
  <c r="Q356" i="46"/>
  <c r="O356" i="46"/>
  <c r="M356" i="46"/>
  <c r="K356" i="46"/>
  <c r="X355" i="46"/>
  <c r="W355" i="46"/>
  <c r="V355" i="46"/>
  <c r="U355" i="46"/>
  <c r="T355" i="46"/>
  <c r="S355" i="46"/>
  <c r="Q355" i="46"/>
  <c r="O355" i="46"/>
  <c r="M355" i="46"/>
  <c r="K355" i="46"/>
  <c r="X354" i="46"/>
  <c r="W354" i="46"/>
  <c r="V354" i="46"/>
  <c r="U354" i="46"/>
  <c r="T354" i="46"/>
  <c r="S354" i="46"/>
  <c r="Q354" i="46"/>
  <c r="O354" i="46"/>
  <c r="M354" i="46"/>
  <c r="K354" i="46"/>
  <c r="X353" i="46"/>
  <c r="W353" i="46"/>
  <c r="V353" i="46"/>
  <c r="U353" i="46"/>
  <c r="T353" i="46"/>
  <c r="S353" i="46"/>
  <c r="Q353" i="46"/>
  <c r="O353" i="46"/>
  <c r="M353" i="46"/>
  <c r="K353" i="46"/>
  <c r="X352" i="46"/>
  <c r="W352" i="46"/>
  <c r="V352" i="46"/>
  <c r="U352" i="46"/>
  <c r="T352" i="46"/>
  <c r="S352" i="46"/>
  <c r="Q352" i="46"/>
  <c r="O352" i="46"/>
  <c r="M352" i="46"/>
  <c r="K352" i="46"/>
  <c r="X351" i="46"/>
  <c r="W351" i="46"/>
  <c r="V351" i="46"/>
  <c r="U351" i="46"/>
  <c r="T351" i="46"/>
  <c r="S351" i="46"/>
  <c r="Q351" i="46"/>
  <c r="O351" i="46"/>
  <c r="M351" i="46"/>
  <c r="K351" i="46"/>
  <c r="X350" i="46"/>
  <c r="W350" i="46"/>
  <c r="V350" i="46"/>
  <c r="U350" i="46"/>
  <c r="T350" i="46"/>
  <c r="S350" i="46"/>
  <c r="Q350" i="46"/>
  <c r="O350" i="46"/>
  <c r="M350" i="46"/>
  <c r="K350" i="46"/>
  <c r="X349" i="46"/>
  <c r="W349" i="46"/>
  <c r="V349" i="46"/>
  <c r="U349" i="46"/>
  <c r="T349" i="46"/>
  <c r="S349" i="46"/>
  <c r="Q349" i="46"/>
  <c r="O349" i="46"/>
  <c r="M349" i="46"/>
  <c r="K349" i="46"/>
  <c r="X348" i="46"/>
  <c r="W348" i="46"/>
  <c r="V348" i="46"/>
  <c r="U348" i="46"/>
  <c r="T348" i="46"/>
  <c r="S348" i="46"/>
  <c r="Q348" i="46"/>
  <c r="O348" i="46"/>
  <c r="M348" i="46"/>
  <c r="K348" i="46"/>
  <c r="X347" i="46"/>
  <c r="W347" i="46"/>
  <c r="V347" i="46"/>
  <c r="U347" i="46"/>
  <c r="T347" i="46"/>
  <c r="S347" i="46"/>
  <c r="Q347" i="46"/>
  <c r="O347" i="46"/>
  <c r="M347" i="46"/>
  <c r="K347" i="46"/>
  <c r="X346" i="46"/>
  <c r="W346" i="46"/>
  <c r="V346" i="46"/>
  <c r="U346" i="46"/>
  <c r="T346" i="46"/>
  <c r="S346" i="46"/>
  <c r="Q346" i="46"/>
  <c r="O346" i="46"/>
  <c r="M346" i="46"/>
  <c r="K346" i="46"/>
  <c r="X345" i="46"/>
  <c r="W345" i="46"/>
  <c r="V345" i="46"/>
  <c r="U345" i="46"/>
  <c r="T345" i="46"/>
  <c r="S345" i="46"/>
  <c r="Q345" i="46"/>
  <c r="O345" i="46"/>
  <c r="M345" i="46"/>
  <c r="K345" i="46"/>
  <c r="X344" i="46"/>
  <c r="W344" i="46"/>
  <c r="V344" i="46"/>
  <c r="U344" i="46"/>
  <c r="T344" i="46"/>
  <c r="S344" i="46"/>
  <c r="Q344" i="46"/>
  <c r="O344" i="46"/>
  <c r="M344" i="46"/>
  <c r="K344" i="46"/>
  <c r="X343" i="46"/>
  <c r="W343" i="46"/>
  <c r="V343" i="46"/>
  <c r="U343" i="46"/>
  <c r="T343" i="46"/>
  <c r="S343" i="46"/>
  <c r="Q343" i="46"/>
  <c r="O343" i="46"/>
  <c r="M343" i="46"/>
  <c r="K343" i="46"/>
  <c r="X342" i="46"/>
  <c r="W342" i="46"/>
  <c r="V342" i="46"/>
  <c r="U342" i="46"/>
  <c r="T342" i="46"/>
  <c r="S342" i="46"/>
  <c r="Q342" i="46"/>
  <c r="O342" i="46"/>
  <c r="M342" i="46"/>
  <c r="K342" i="46"/>
  <c r="X341" i="46"/>
  <c r="W341" i="46"/>
  <c r="V341" i="46"/>
  <c r="U341" i="46"/>
  <c r="T341" i="46"/>
  <c r="S341" i="46"/>
  <c r="Q341" i="46"/>
  <c r="O341" i="46"/>
  <c r="M341" i="46"/>
  <c r="K341" i="46"/>
  <c r="X340" i="46"/>
  <c r="W340" i="46"/>
  <c r="V340" i="46"/>
  <c r="U340" i="46"/>
  <c r="T340" i="46"/>
  <c r="S340" i="46"/>
  <c r="Q340" i="46"/>
  <c r="O340" i="46"/>
  <c r="M340" i="46"/>
  <c r="K340" i="46"/>
  <c r="X339" i="46"/>
  <c r="W339" i="46"/>
  <c r="V339" i="46"/>
  <c r="U339" i="46"/>
  <c r="T339" i="46"/>
  <c r="S339" i="46"/>
  <c r="Q339" i="46"/>
  <c r="O339" i="46"/>
  <c r="M339" i="46"/>
  <c r="K339" i="46"/>
  <c r="X338" i="46"/>
  <c r="W338" i="46"/>
  <c r="V338" i="46"/>
  <c r="U338" i="46"/>
  <c r="T338" i="46"/>
  <c r="S338" i="46"/>
  <c r="Q338" i="46"/>
  <c r="O338" i="46"/>
  <c r="M338" i="46"/>
  <c r="K338" i="46"/>
  <c r="X337" i="46"/>
  <c r="W337" i="46"/>
  <c r="V337" i="46"/>
  <c r="U337" i="46"/>
  <c r="T337" i="46"/>
  <c r="S337" i="46"/>
  <c r="Q337" i="46"/>
  <c r="O337" i="46"/>
  <c r="M337" i="46"/>
  <c r="K337" i="46"/>
  <c r="X336" i="46"/>
  <c r="W336" i="46"/>
  <c r="V336" i="46"/>
  <c r="U336" i="46"/>
  <c r="T336" i="46"/>
  <c r="S336" i="46"/>
  <c r="Q336" i="46"/>
  <c r="O336" i="46"/>
  <c r="M336" i="46"/>
  <c r="K336" i="46"/>
  <c r="X335" i="46"/>
  <c r="W335" i="46"/>
  <c r="V335" i="46"/>
  <c r="U335" i="46"/>
  <c r="T335" i="46"/>
  <c r="S335" i="46"/>
  <c r="Q335" i="46"/>
  <c r="O335" i="46"/>
  <c r="M335" i="46"/>
  <c r="K335" i="46"/>
  <c r="X334" i="46"/>
  <c r="W334" i="46"/>
  <c r="V334" i="46"/>
  <c r="U334" i="46"/>
  <c r="T334" i="46"/>
  <c r="S334" i="46"/>
  <c r="Q334" i="46"/>
  <c r="O334" i="46"/>
  <c r="M334" i="46"/>
  <c r="K334" i="46"/>
  <c r="X333" i="46"/>
  <c r="W333" i="46"/>
  <c r="V333" i="46"/>
  <c r="U333" i="46"/>
  <c r="T333" i="46"/>
  <c r="S333" i="46"/>
  <c r="Q333" i="46"/>
  <c r="O333" i="46"/>
  <c r="M333" i="46"/>
  <c r="K333" i="46"/>
  <c r="X332" i="46"/>
  <c r="W332" i="46"/>
  <c r="V332" i="46"/>
  <c r="U332" i="46"/>
  <c r="T332" i="46"/>
  <c r="S332" i="46"/>
  <c r="Q332" i="46"/>
  <c r="O332" i="46"/>
  <c r="M332" i="46"/>
  <c r="K332" i="46"/>
  <c r="X331" i="46"/>
  <c r="W331" i="46"/>
  <c r="V331" i="46"/>
  <c r="U331" i="46"/>
  <c r="T331" i="46"/>
  <c r="S331" i="46"/>
  <c r="Q331" i="46"/>
  <c r="O331" i="46"/>
  <c r="M331" i="46"/>
  <c r="K331" i="46"/>
  <c r="X330" i="46"/>
  <c r="W330" i="46"/>
  <c r="V330" i="46"/>
  <c r="U330" i="46"/>
  <c r="T330" i="46"/>
  <c r="S330" i="46"/>
  <c r="Q330" i="46"/>
  <c r="O330" i="46"/>
  <c r="M330" i="46"/>
  <c r="K330" i="46"/>
  <c r="X329" i="46"/>
  <c r="W329" i="46"/>
  <c r="V329" i="46"/>
  <c r="U329" i="46"/>
  <c r="T329" i="46"/>
  <c r="S329" i="46"/>
  <c r="Q329" i="46"/>
  <c r="O329" i="46"/>
  <c r="M329" i="46"/>
  <c r="K329" i="46"/>
  <c r="X328" i="46"/>
  <c r="W328" i="46"/>
  <c r="V328" i="46"/>
  <c r="U328" i="46"/>
  <c r="T328" i="46"/>
  <c r="S328" i="46"/>
  <c r="Q328" i="46"/>
  <c r="O328" i="46"/>
  <c r="M328" i="46"/>
  <c r="K328" i="46"/>
  <c r="X327" i="46"/>
  <c r="W327" i="46"/>
  <c r="V327" i="46"/>
  <c r="U327" i="46"/>
  <c r="T327" i="46"/>
  <c r="S327" i="46"/>
  <c r="Q327" i="46"/>
  <c r="O327" i="46"/>
  <c r="M327" i="46"/>
  <c r="K327" i="46"/>
  <c r="X326" i="46"/>
  <c r="W326" i="46"/>
  <c r="V326" i="46"/>
  <c r="U326" i="46"/>
  <c r="T326" i="46"/>
  <c r="S326" i="46"/>
  <c r="Q326" i="46"/>
  <c r="O326" i="46"/>
  <c r="M326" i="46"/>
  <c r="K326" i="46"/>
  <c r="X325" i="46"/>
  <c r="W325" i="46"/>
  <c r="V325" i="46"/>
  <c r="U325" i="46"/>
  <c r="T325" i="46"/>
  <c r="S325" i="46"/>
  <c r="Q325" i="46"/>
  <c r="O325" i="46"/>
  <c r="M325" i="46"/>
  <c r="K325" i="46"/>
  <c r="X324" i="46"/>
  <c r="W324" i="46"/>
  <c r="V324" i="46"/>
  <c r="U324" i="46"/>
  <c r="T324" i="46"/>
  <c r="S324" i="46"/>
  <c r="Q324" i="46"/>
  <c r="O324" i="46"/>
  <c r="M324" i="46"/>
  <c r="K324" i="46"/>
  <c r="X323" i="46"/>
  <c r="W323" i="46"/>
  <c r="V323" i="46"/>
  <c r="U323" i="46"/>
  <c r="T323" i="46"/>
  <c r="S323" i="46"/>
  <c r="Q323" i="46"/>
  <c r="O323" i="46"/>
  <c r="M323" i="46"/>
  <c r="K323" i="46"/>
  <c r="X322" i="46"/>
  <c r="W322" i="46"/>
  <c r="V322" i="46"/>
  <c r="U322" i="46"/>
  <c r="T322" i="46"/>
  <c r="S322" i="46"/>
  <c r="Q322" i="46"/>
  <c r="O322" i="46"/>
  <c r="M322" i="46"/>
  <c r="K322" i="46"/>
  <c r="X321" i="46"/>
  <c r="W321" i="46"/>
  <c r="V321" i="46"/>
  <c r="U321" i="46"/>
  <c r="T321" i="46"/>
  <c r="S321" i="46"/>
  <c r="Q321" i="46"/>
  <c r="O321" i="46"/>
  <c r="M321" i="46"/>
  <c r="K321" i="46"/>
  <c r="X320" i="46"/>
  <c r="W320" i="46"/>
  <c r="V320" i="46"/>
  <c r="U320" i="46"/>
  <c r="T320" i="46"/>
  <c r="S320" i="46"/>
  <c r="Q320" i="46"/>
  <c r="O320" i="46"/>
  <c r="M320" i="46"/>
  <c r="K320" i="46"/>
  <c r="X319" i="46"/>
  <c r="W319" i="46"/>
  <c r="V319" i="46"/>
  <c r="U319" i="46"/>
  <c r="T319" i="46"/>
  <c r="S319" i="46"/>
  <c r="Q319" i="46"/>
  <c r="O319" i="46"/>
  <c r="M319" i="46"/>
  <c r="K319" i="46"/>
  <c r="X318" i="46"/>
  <c r="W318" i="46"/>
  <c r="V318" i="46"/>
  <c r="U318" i="46"/>
  <c r="T318" i="46"/>
  <c r="S318" i="46"/>
  <c r="Q318" i="46"/>
  <c r="O318" i="46"/>
  <c r="M318" i="46"/>
  <c r="K318" i="46"/>
  <c r="X317" i="46"/>
  <c r="W317" i="46"/>
  <c r="V317" i="46"/>
  <c r="U317" i="46"/>
  <c r="T317" i="46"/>
  <c r="S317" i="46"/>
  <c r="Q317" i="46"/>
  <c r="O317" i="46"/>
  <c r="M317" i="46"/>
  <c r="K317" i="46"/>
  <c r="X316" i="46"/>
  <c r="W316" i="46"/>
  <c r="V316" i="46"/>
  <c r="U316" i="46"/>
  <c r="T316" i="46"/>
  <c r="S316" i="46"/>
  <c r="Q316" i="46"/>
  <c r="O316" i="46"/>
  <c r="M316" i="46"/>
  <c r="K316" i="46"/>
  <c r="X315" i="46"/>
  <c r="W315" i="46"/>
  <c r="V315" i="46"/>
  <c r="U315" i="46"/>
  <c r="T315" i="46"/>
  <c r="S315" i="46"/>
  <c r="Q315" i="46"/>
  <c r="O315" i="46"/>
  <c r="M315" i="46"/>
  <c r="K315" i="46"/>
  <c r="X314" i="46"/>
  <c r="W314" i="46"/>
  <c r="V314" i="46"/>
  <c r="U314" i="46"/>
  <c r="T314" i="46"/>
  <c r="S314" i="46"/>
  <c r="Q314" i="46"/>
  <c r="O314" i="46"/>
  <c r="M314" i="46"/>
  <c r="K314" i="46"/>
  <c r="X313" i="46"/>
  <c r="W313" i="46"/>
  <c r="V313" i="46"/>
  <c r="U313" i="46"/>
  <c r="T313" i="46"/>
  <c r="S313" i="46"/>
  <c r="Q313" i="46"/>
  <c r="O313" i="46"/>
  <c r="M313" i="46"/>
  <c r="K313" i="46"/>
  <c r="X312" i="46"/>
  <c r="W312" i="46"/>
  <c r="V312" i="46"/>
  <c r="U312" i="46"/>
  <c r="T312" i="46"/>
  <c r="S312" i="46"/>
  <c r="Q312" i="46"/>
  <c r="O312" i="46"/>
  <c r="M312" i="46"/>
  <c r="K312" i="46"/>
  <c r="X311" i="46"/>
  <c r="W311" i="46"/>
  <c r="V311" i="46"/>
  <c r="U311" i="46"/>
  <c r="T311" i="46"/>
  <c r="S311" i="46"/>
  <c r="Q311" i="46"/>
  <c r="O311" i="46"/>
  <c r="M311" i="46"/>
  <c r="K311" i="46"/>
  <c r="X310" i="46"/>
  <c r="W310" i="46"/>
  <c r="V310" i="46"/>
  <c r="U310" i="46"/>
  <c r="T310" i="46"/>
  <c r="S310" i="46"/>
  <c r="Q310" i="46"/>
  <c r="O310" i="46"/>
  <c r="M310" i="46"/>
  <c r="K310" i="46"/>
  <c r="X309" i="46"/>
  <c r="W309" i="46"/>
  <c r="V309" i="46"/>
  <c r="U309" i="46"/>
  <c r="T309" i="46"/>
  <c r="S309" i="46"/>
  <c r="Q309" i="46"/>
  <c r="O309" i="46"/>
  <c r="M309" i="46"/>
  <c r="K309" i="46"/>
  <c r="X308" i="46"/>
  <c r="W308" i="46"/>
  <c r="V308" i="46"/>
  <c r="U308" i="46"/>
  <c r="T308" i="46"/>
  <c r="S308" i="46"/>
  <c r="Q308" i="46"/>
  <c r="O308" i="46"/>
  <c r="M308" i="46"/>
  <c r="K308" i="46"/>
  <c r="X307" i="46"/>
  <c r="W307" i="46"/>
  <c r="V307" i="46"/>
  <c r="U307" i="46"/>
  <c r="T307" i="46"/>
  <c r="S307" i="46"/>
  <c r="Q307" i="46"/>
  <c r="O307" i="46"/>
  <c r="M307" i="46"/>
  <c r="K307" i="46"/>
  <c r="X306" i="46"/>
  <c r="W306" i="46"/>
  <c r="V306" i="46"/>
  <c r="U306" i="46"/>
  <c r="T306" i="46"/>
  <c r="S306" i="46"/>
  <c r="Q306" i="46"/>
  <c r="O306" i="46"/>
  <c r="M306" i="46"/>
  <c r="K306" i="46"/>
  <c r="X305" i="46"/>
  <c r="W305" i="46"/>
  <c r="V305" i="46"/>
  <c r="U305" i="46"/>
  <c r="T305" i="46"/>
  <c r="S305" i="46"/>
  <c r="Q305" i="46"/>
  <c r="O305" i="46"/>
  <c r="M305" i="46"/>
  <c r="K305" i="46"/>
  <c r="X304" i="46"/>
  <c r="W304" i="46"/>
  <c r="V304" i="46"/>
  <c r="U304" i="46"/>
  <c r="T304" i="46"/>
  <c r="S304" i="46"/>
  <c r="Q304" i="46"/>
  <c r="O304" i="46"/>
  <c r="M304" i="46"/>
  <c r="K304" i="46"/>
  <c r="X303" i="46"/>
  <c r="W303" i="46"/>
  <c r="V303" i="46"/>
  <c r="U303" i="46"/>
  <c r="T303" i="46"/>
  <c r="S303" i="46"/>
  <c r="Q303" i="46"/>
  <c r="O303" i="46"/>
  <c r="M303" i="46"/>
  <c r="K303" i="46"/>
  <c r="X302" i="46"/>
  <c r="W302" i="46"/>
  <c r="V302" i="46"/>
  <c r="U302" i="46"/>
  <c r="T302" i="46"/>
  <c r="S302" i="46"/>
  <c r="Q302" i="46"/>
  <c r="O302" i="46"/>
  <c r="M302" i="46"/>
  <c r="K302" i="46"/>
  <c r="X301" i="46"/>
  <c r="W301" i="46"/>
  <c r="V301" i="46"/>
  <c r="U301" i="46"/>
  <c r="T301" i="46"/>
  <c r="S301" i="46"/>
  <c r="Q301" i="46"/>
  <c r="O301" i="46"/>
  <c r="M301" i="46"/>
  <c r="K301" i="46"/>
  <c r="X300" i="46"/>
  <c r="W300" i="46"/>
  <c r="V300" i="46"/>
  <c r="U300" i="46"/>
  <c r="T300" i="46"/>
  <c r="S300" i="46"/>
  <c r="Q300" i="46"/>
  <c r="O300" i="46"/>
  <c r="M300" i="46"/>
  <c r="K300" i="46"/>
  <c r="X299" i="46"/>
  <c r="W299" i="46"/>
  <c r="V299" i="46"/>
  <c r="U299" i="46"/>
  <c r="T299" i="46"/>
  <c r="S299" i="46"/>
  <c r="Q299" i="46"/>
  <c r="O299" i="46"/>
  <c r="M299" i="46"/>
  <c r="K299" i="46"/>
  <c r="X298" i="46"/>
  <c r="W298" i="46"/>
  <c r="V298" i="46"/>
  <c r="U298" i="46"/>
  <c r="T298" i="46"/>
  <c r="S298" i="46"/>
  <c r="Q298" i="46"/>
  <c r="O298" i="46"/>
  <c r="M298" i="46"/>
  <c r="K298" i="46"/>
  <c r="X297" i="46"/>
  <c r="W297" i="46"/>
  <c r="V297" i="46"/>
  <c r="U297" i="46"/>
  <c r="T297" i="46"/>
  <c r="S297" i="46"/>
  <c r="Q297" i="46"/>
  <c r="O297" i="46"/>
  <c r="M297" i="46"/>
  <c r="K297" i="46"/>
  <c r="X296" i="46"/>
  <c r="W296" i="46"/>
  <c r="V296" i="46"/>
  <c r="U296" i="46"/>
  <c r="T296" i="46"/>
  <c r="S296" i="46"/>
  <c r="Q296" i="46"/>
  <c r="O296" i="46"/>
  <c r="M296" i="46"/>
  <c r="K296" i="46"/>
  <c r="X295" i="46"/>
  <c r="W295" i="46"/>
  <c r="V295" i="46"/>
  <c r="U295" i="46"/>
  <c r="T295" i="46"/>
  <c r="S295" i="46"/>
  <c r="Q295" i="46"/>
  <c r="O295" i="46"/>
  <c r="M295" i="46"/>
  <c r="K295" i="46"/>
  <c r="X294" i="46"/>
  <c r="W294" i="46"/>
  <c r="V294" i="46"/>
  <c r="U294" i="46"/>
  <c r="T294" i="46"/>
  <c r="S294" i="46"/>
  <c r="Q294" i="46"/>
  <c r="O294" i="46"/>
  <c r="M294" i="46"/>
  <c r="K294" i="46"/>
  <c r="X293" i="46"/>
  <c r="W293" i="46"/>
  <c r="V293" i="46"/>
  <c r="U293" i="46"/>
  <c r="T293" i="46"/>
  <c r="S293" i="46"/>
  <c r="Q293" i="46"/>
  <c r="O293" i="46"/>
  <c r="M293" i="46"/>
  <c r="K293" i="46"/>
  <c r="X292" i="46"/>
  <c r="W292" i="46"/>
  <c r="V292" i="46"/>
  <c r="U292" i="46"/>
  <c r="T292" i="46"/>
  <c r="S292" i="46"/>
  <c r="Q292" i="46"/>
  <c r="O292" i="46"/>
  <c r="M292" i="46"/>
  <c r="K292" i="46"/>
  <c r="X291" i="46"/>
  <c r="W291" i="46"/>
  <c r="V291" i="46"/>
  <c r="U291" i="46"/>
  <c r="T291" i="46"/>
  <c r="S291" i="46"/>
  <c r="Q291" i="46"/>
  <c r="O291" i="46"/>
  <c r="M291" i="46"/>
  <c r="K291" i="46"/>
  <c r="X290" i="46"/>
  <c r="W290" i="46"/>
  <c r="V290" i="46"/>
  <c r="U290" i="46"/>
  <c r="T290" i="46"/>
  <c r="S290" i="46"/>
  <c r="Q290" i="46"/>
  <c r="O290" i="46"/>
  <c r="M290" i="46"/>
  <c r="K290" i="46"/>
  <c r="X289" i="46"/>
  <c r="W289" i="46"/>
  <c r="V289" i="46"/>
  <c r="U289" i="46"/>
  <c r="T289" i="46"/>
  <c r="S289" i="46"/>
  <c r="Q289" i="46"/>
  <c r="O289" i="46"/>
  <c r="M289" i="46"/>
  <c r="K289" i="46"/>
  <c r="X288" i="46"/>
  <c r="W288" i="46"/>
  <c r="V288" i="46"/>
  <c r="U288" i="46"/>
  <c r="T288" i="46"/>
  <c r="S288" i="46"/>
  <c r="Q288" i="46"/>
  <c r="O288" i="46"/>
  <c r="M288" i="46"/>
  <c r="K288" i="46"/>
  <c r="X287" i="46"/>
  <c r="W287" i="46"/>
  <c r="V287" i="46"/>
  <c r="U287" i="46"/>
  <c r="T287" i="46"/>
  <c r="S287" i="46"/>
  <c r="Q287" i="46"/>
  <c r="O287" i="46"/>
  <c r="M287" i="46"/>
  <c r="K287" i="46"/>
  <c r="X286" i="46"/>
  <c r="W286" i="46"/>
  <c r="V286" i="46"/>
  <c r="U286" i="46"/>
  <c r="T286" i="46"/>
  <c r="S286" i="46"/>
  <c r="Q286" i="46"/>
  <c r="O286" i="46"/>
  <c r="M286" i="46"/>
  <c r="K286" i="46"/>
  <c r="X285" i="46"/>
  <c r="W285" i="46"/>
  <c r="V285" i="46"/>
  <c r="U285" i="46"/>
  <c r="T285" i="46"/>
  <c r="S285" i="46"/>
  <c r="Q285" i="46"/>
  <c r="O285" i="46"/>
  <c r="M285" i="46"/>
  <c r="K285" i="46"/>
  <c r="X284" i="46"/>
  <c r="W284" i="46"/>
  <c r="V284" i="46"/>
  <c r="U284" i="46"/>
  <c r="T284" i="46"/>
  <c r="S284" i="46"/>
  <c r="Q284" i="46"/>
  <c r="O284" i="46"/>
  <c r="M284" i="46"/>
  <c r="K284" i="46"/>
  <c r="X283" i="46"/>
  <c r="W283" i="46"/>
  <c r="V283" i="46"/>
  <c r="U283" i="46"/>
  <c r="T283" i="46"/>
  <c r="S283" i="46"/>
  <c r="Q283" i="46"/>
  <c r="O283" i="46"/>
  <c r="M283" i="46"/>
  <c r="K283" i="46"/>
  <c r="X282" i="46"/>
  <c r="W282" i="46"/>
  <c r="V282" i="46"/>
  <c r="U282" i="46"/>
  <c r="T282" i="46"/>
  <c r="S282" i="46"/>
  <c r="Q282" i="46"/>
  <c r="O282" i="46"/>
  <c r="M282" i="46"/>
  <c r="K282" i="46"/>
  <c r="X281" i="46"/>
  <c r="W281" i="46"/>
  <c r="V281" i="46"/>
  <c r="U281" i="46"/>
  <c r="T281" i="46"/>
  <c r="S281" i="46"/>
  <c r="Q281" i="46"/>
  <c r="O281" i="46"/>
  <c r="M281" i="46"/>
  <c r="K281" i="46"/>
  <c r="X280" i="46"/>
  <c r="W280" i="46"/>
  <c r="V280" i="46"/>
  <c r="U280" i="46"/>
  <c r="T280" i="46"/>
  <c r="S280" i="46"/>
  <c r="Q280" i="46"/>
  <c r="O280" i="46"/>
  <c r="M280" i="46"/>
  <c r="K280" i="46"/>
  <c r="X279" i="46"/>
  <c r="W279" i="46"/>
  <c r="V279" i="46"/>
  <c r="U279" i="46"/>
  <c r="T279" i="46"/>
  <c r="S279" i="46"/>
  <c r="Q279" i="46"/>
  <c r="O279" i="46"/>
  <c r="M279" i="46"/>
  <c r="K279" i="46"/>
  <c r="X278" i="46"/>
  <c r="W278" i="46"/>
  <c r="V278" i="46"/>
  <c r="U278" i="46"/>
  <c r="T278" i="46"/>
  <c r="S278" i="46"/>
  <c r="Q278" i="46"/>
  <c r="O278" i="46"/>
  <c r="M278" i="46"/>
  <c r="K278" i="46"/>
  <c r="X277" i="46"/>
  <c r="W277" i="46"/>
  <c r="V277" i="46"/>
  <c r="U277" i="46"/>
  <c r="T277" i="46"/>
  <c r="S277" i="46"/>
  <c r="Q277" i="46"/>
  <c r="O277" i="46"/>
  <c r="M277" i="46"/>
  <c r="K277" i="46"/>
  <c r="X276" i="46"/>
  <c r="W276" i="46"/>
  <c r="V276" i="46"/>
  <c r="U276" i="46"/>
  <c r="T276" i="46"/>
  <c r="S276" i="46"/>
  <c r="Q276" i="46"/>
  <c r="O276" i="46"/>
  <c r="M276" i="46"/>
  <c r="K276" i="46"/>
  <c r="X275" i="46"/>
  <c r="W275" i="46"/>
  <c r="V275" i="46"/>
  <c r="U275" i="46"/>
  <c r="T275" i="46"/>
  <c r="S275" i="46"/>
  <c r="Q275" i="46"/>
  <c r="O275" i="46"/>
  <c r="M275" i="46"/>
  <c r="K275" i="46"/>
  <c r="X274" i="46"/>
  <c r="W274" i="46"/>
  <c r="V274" i="46"/>
  <c r="U274" i="46"/>
  <c r="T274" i="46"/>
  <c r="S274" i="46"/>
  <c r="Q274" i="46"/>
  <c r="O274" i="46"/>
  <c r="M274" i="46"/>
  <c r="K274" i="46"/>
  <c r="X273" i="46"/>
  <c r="W273" i="46"/>
  <c r="V273" i="46"/>
  <c r="U273" i="46"/>
  <c r="T273" i="46"/>
  <c r="S273" i="46"/>
  <c r="Q273" i="46"/>
  <c r="O273" i="46"/>
  <c r="M273" i="46"/>
  <c r="K273" i="46"/>
  <c r="X272" i="46"/>
  <c r="W272" i="46"/>
  <c r="V272" i="46"/>
  <c r="U272" i="46"/>
  <c r="T272" i="46"/>
  <c r="S272" i="46"/>
  <c r="Q272" i="46"/>
  <c r="O272" i="46"/>
  <c r="M272" i="46"/>
  <c r="K272" i="46"/>
  <c r="X271" i="46"/>
  <c r="W271" i="46"/>
  <c r="V271" i="46"/>
  <c r="U271" i="46"/>
  <c r="T271" i="46"/>
  <c r="S271" i="46"/>
  <c r="Q271" i="46"/>
  <c r="O271" i="46"/>
  <c r="M271" i="46"/>
  <c r="K271" i="46"/>
  <c r="X270" i="46"/>
  <c r="W270" i="46"/>
  <c r="V270" i="46"/>
  <c r="U270" i="46"/>
  <c r="T270" i="46"/>
  <c r="S270" i="46"/>
  <c r="Q270" i="46"/>
  <c r="O270" i="46"/>
  <c r="M270" i="46"/>
  <c r="K270" i="46"/>
  <c r="X269" i="46"/>
  <c r="W269" i="46"/>
  <c r="V269" i="46"/>
  <c r="U269" i="46"/>
  <c r="T269" i="46"/>
  <c r="S269" i="46"/>
  <c r="Q269" i="46"/>
  <c r="O269" i="46"/>
  <c r="M269" i="46"/>
  <c r="K269" i="46"/>
  <c r="X268" i="46"/>
  <c r="W268" i="46"/>
  <c r="V268" i="46"/>
  <c r="U268" i="46"/>
  <c r="T268" i="46"/>
  <c r="S268" i="46"/>
  <c r="Q268" i="46"/>
  <c r="O268" i="46"/>
  <c r="M268" i="46"/>
  <c r="K268" i="46"/>
  <c r="X267" i="46"/>
  <c r="W267" i="46"/>
  <c r="V267" i="46"/>
  <c r="U267" i="46"/>
  <c r="T267" i="46"/>
  <c r="S267" i="46"/>
  <c r="Q267" i="46"/>
  <c r="O267" i="46"/>
  <c r="M267" i="46"/>
  <c r="K267" i="46"/>
  <c r="X266" i="46"/>
  <c r="W266" i="46"/>
  <c r="V266" i="46"/>
  <c r="U266" i="46"/>
  <c r="T266" i="46"/>
  <c r="S266" i="46"/>
  <c r="Q266" i="46"/>
  <c r="O266" i="46"/>
  <c r="M266" i="46"/>
  <c r="K266" i="46"/>
  <c r="X265" i="46"/>
  <c r="W265" i="46"/>
  <c r="V265" i="46"/>
  <c r="U265" i="46"/>
  <c r="T265" i="46"/>
  <c r="S265" i="46"/>
  <c r="Q265" i="46"/>
  <c r="O265" i="46"/>
  <c r="M265" i="46"/>
  <c r="K265" i="46"/>
  <c r="X264" i="46"/>
  <c r="W264" i="46"/>
  <c r="V264" i="46"/>
  <c r="U264" i="46"/>
  <c r="T264" i="46"/>
  <c r="S264" i="46"/>
  <c r="Q264" i="46"/>
  <c r="O264" i="46"/>
  <c r="M264" i="46"/>
  <c r="K264" i="46"/>
  <c r="X263" i="46"/>
  <c r="W263" i="46"/>
  <c r="V263" i="46"/>
  <c r="U263" i="46"/>
  <c r="T263" i="46"/>
  <c r="S263" i="46"/>
  <c r="Q263" i="46"/>
  <c r="O263" i="46"/>
  <c r="M263" i="46"/>
  <c r="K263" i="46"/>
  <c r="X262" i="46"/>
  <c r="W262" i="46"/>
  <c r="V262" i="46"/>
  <c r="U262" i="46"/>
  <c r="T262" i="46"/>
  <c r="S262" i="46"/>
  <c r="Q262" i="46"/>
  <c r="O262" i="46"/>
  <c r="M262" i="46"/>
  <c r="K262" i="46"/>
  <c r="X261" i="46"/>
  <c r="W261" i="46"/>
  <c r="V261" i="46"/>
  <c r="U261" i="46"/>
  <c r="T261" i="46"/>
  <c r="S261" i="46"/>
  <c r="Q261" i="46"/>
  <c r="O261" i="46"/>
  <c r="M261" i="46"/>
  <c r="K261" i="46"/>
  <c r="X260" i="46"/>
  <c r="W260" i="46"/>
  <c r="V260" i="46"/>
  <c r="U260" i="46"/>
  <c r="T260" i="46"/>
  <c r="S260" i="46"/>
  <c r="Q260" i="46"/>
  <c r="O260" i="46"/>
  <c r="M260" i="46"/>
  <c r="K260" i="46"/>
  <c r="X259" i="46"/>
  <c r="W259" i="46"/>
  <c r="V259" i="46"/>
  <c r="U259" i="46"/>
  <c r="T259" i="46"/>
  <c r="S259" i="46"/>
  <c r="Q259" i="46"/>
  <c r="O259" i="46"/>
  <c r="M259" i="46"/>
  <c r="K259" i="46"/>
  <c r="X258" i="46"/>
  <c r="W258" i="46"/>
  <c r="V258" i="46"/>
  <c r="U258" i="46"/>
  <c r="T258" i="46"/>
  <c r="S258" i="46"/>
  <c r="Q258" i="46"/>
  <c r="O258" i="46"/>
  <c r="M258" i="46"/>
  <c r="K258" i="46"/>
  <c r="X257" i="46"/>
  <c r="W257" i="46"/>
  <c r="V257" i="46"/>
  <c r="U257" i="46"/>
  <c r="T257" i="46"/>
  <c r="S257" i="46"/>
  <c r="Q257" i="46"/>
  <c r="O257" i="46"/>
  <c r="M257" i="46"/>
  <c r="K257" i="46"/>
  <c r="X256" i="46"/>
  <c r="W256" i="46"/>
  <c r="V256" i="46"/>
  <c r="U256" i="46"/>
  <c r="T256" i="46"/>
  <c r="S256" i="46"/>
  <c r="Q256" i="46"/>
  <c r="O256" i="46"/>
  <c r="M256" i="46"/>
  <c r="K256" i="46"/>
  <c r="X255" i="46"/>
  <c r="W255" i="46"/>
  <c r="V255" i="46"/>
  <c r="U255" i="46"/>
  <c r="T255" i="46"/>
  <c r="S255" i="46"/>
  <c r="Q255" i="46"/>
  <c r="O255" i="46"/>
  <c r="M255" i="46"/>
  <c r="K255" i="46"/>
  <c r="X254" i="46"/>
  <c r="W254" i="46"/>
  <c r="V254" i="46"/>
  <c r="U254" i="46"/>
  <c r="T254" i="46"/>
  <c r="S254" i="46"/>
  <c r="Q254" i="46"/>
  <c r="O254" i="46"/>
  <c r="M254" i="46"/>
  <c r="K254" i="46"/>
  <c r="X253" i="46"/>
  <c r="W253" i="46"/>
  <c r="V253" i="46"/>
  <c r="U253" i="46"/>
  <c r="T253" i="46"/>
  <c r="S253" i="46"/>
  <c r="Q253" i="46"/>
  <c r="O253" i="46"/>
  <c r="M253" i="46"/>
  <c r="K253" i="46"/>
  <c r="X252" i="46"/>
  <c r="W252" i="46"/>
  <c r="V252" i="46"/>
  <c r="U252" i="46"/>
  <c r="T252" i="46"/>
  <c r="S252" i="46"/>
  <c r="Q252" i="46"/>
  <c r="O252" i="46"/>
  <c r="M252" i="46"/>
  <c r="K252" i="46"/>
  <c r="X251" i="46"/>
  <c r="W251" i="46"/>
  <c r="V251" i="46"/>
  <c r="U251" i="46"/>
  <c r="T251" i="46"/>
  <c r="S251" i="46"/>
  <c r="Q251" i="46"/>
  <c r="O251" i="46"/>
  <c r="M251" i="46"/>
  <c r="K251" i="46"/>
  <c r="X250" i="46"/>
  <c r="W250" i="46"/>
  <c r="V250" i="46"/>
  <c r="U250" i="46"/>
  <c r="T250" i="46"/>
  <c r="S250" i="46"/>
  <c r="Q250" i="46"/>
  <c r="O250" i="46"/>
  <c r="M250" i="46"/>
  <c r="K250" i="46"/>
  <c r="X249" i="46"/>
  <c r="W249" i="46"/>
  <c r="V249" i="46"/>
  <c r="U249" i="46"/>
  <c r="T249" i="46"/>
  <c r="S249" i="46"/>
  <c r="Q249" i="46"/>
  <c r="O249" i="46"/>
  <c r="M249" i="46"/>
  <c r="K249" i="46"/>
  <c r="X248" i="46"/>
  <c r="W248" i="46"/>
  <c r="V248" i="46"/>
  <c r="U248" i="46"/>
  <c r="T248" i="46"/>
  <c r="S248" i="46"/>
  <c r="Q248" i="46"/>
  <c r="O248" i="46"/>
  <c r="M248" i="46"/>
  <c r="K248" i="46"/>
  <c r="X247" i="46"/>
  <c r="W247" i="46"/>
  <c r="V247" i="46"/>
  <c r="U247" i="46"/>
  <c r="T247" i="46"/>
  <c r="S247" i="46"/>
  <c r="Q247" i="46"/>
  <c r="O247" i="46"/>
  <c r="M247" i="46"/>
  <c r="K247" i="46"/>
  <c r="X246" i="46"/>
  <c r="W246" i="46"/>
  <c r="V246" i="46"/>
  <c r="U246" i="46"/>
  <c r="T246" i="46"/>
  <c r="S246" i="46"/>
  <c r="Q246" i="46"/>
  <c r="O246" i="46"/>
  <c r="M246" i="46"/>
  <c r="K246" i="46"/>
  <c r="X245" i="46"/>
  <c r="W245" i="46"/>
  <c r="V245" i="46"/>
  <c r="U245" i="46"/>
  <c r="T245" i="46"/>
  <c r="S245" i="46"/>
  <c r="Q245" i="46"/>
  <c r="O245" i="46"/>
  <c r="M245" i="46"/>
  <c r="K245" i="46"/>
  <c r="X244" i="46"/>
  <c r="W244" i="46"/>
  <c r="V244" i="46"/>
  <c r="U244" i="46"/>
  <c r="T244" i="46"/>
  <c r="S244" i="46"/>
  <c r="Q244" i="46"/>
  <c r="O244" i="46"/>
  <c r="M244" i="46"/>
  <c r="K244" i="46"/>
  <c r="X243" i="46"/>
  <c r="W243" i="46"/>
  <c r="V243" i="46"/>
  <c r="U243" i="46"/>
  <c r="T243" i="46"/>
  <c r="S243" i="46"/>
  <c r="Q243" i="46"/>
  <c r="O243" i="46"/>
  <c r="M243" i="46"/>
  <c r="K243" i="46"/>
  <c r="X242" i="46"/>
  <c r="W242" i="46"/>
  <c r="V242" i="46"/>
  <c r="U242" i="46"/>
  <c r="T242" i="46"/>
  <c r="S242" i="46"/>
  <c r="Q242" i="46"/>
  <c r="O242" i="46"/>
  <c r="M242" i="46"/>
  <c r="K242" i="46"/>
  <c r="X241" i="46"/>
  <c r="W241" i="46"/>
  <c r="V241" i="46"/>
  <c r="U241" i="46"/>
  <c r="T241" i="46"/>
  <c r="S241" i="46"/>
  <c r="Q241" i="46"/>
  <c r="O241" i="46"/>
  <c r="M241" i="46"/>
  <c r="K241" i="46"/>
  <c r="X240" i="46"/>
  <c r="W240" i="46"/>
  <c r="V240" i="46"/>
  <c r="U240" i="46"/>
  <c r="T240" i="46"/>
  <c r="S240" i="46"/>
  <c r="Q240" i="46"/>
  <c r="O240" i="46"/>
  <c r="M240" i="46"/>
  <c r="K240" i="46"/>
  <c r="X239" i="46"/>
  <c r="W239" i="46"/>
  <c r="V239" i="46"/>
  <c r="U239" i="46"/>
  <c r="T239" i="46"/>
  <c r="S239" i="46"/>
  <c r="Q239" i="46"/>
  <c r="O239" i="46"/>
  <c r="M239" i="46"/>
  <c r="K239" i="46"/>
  <c r="X238" i="46"/>
  <c r="W238" i="46"/>
  <c r="V238" i="46"/>
  <c r="U238" i="46"/>
  <c r="T238" i="46"/>
  <c r="S238" i="46"/>
  <c r="Q238" i="46"/>
  <c r="O238" i="46"/>
  <c r="M238" i="46"/>
  <c r="K238" i="46"/>
  <c r="X237" i="46"/>
  <c r="W237" i="46"/>
  <c r="V237" i="46"/>
  <c r="U237" i="46"/>
  <c r="T237" i="46"/>
  <c r="S237" i="46"/>
  <c r="Q237" i="46"/>
  <c r="O237" i="46"/>
  <c r="M237" i="46"/>
  <c r="K237" i="46"/>
  <c r="X236" i="46"/>
  <c r="W236" i="46"/>
  <c r="V236" i="46"/>
  <c r="U236" i="46"/>
  <c r="T236" i="46"/>
  <c r="S236" i="46"/>
  <c r="Q236" i="46"/>
  <c r="O236" i="46"/>
  <c r="M236" i="46"/>
  <c r="K236" i="46"/>
  <c r="X235" i="46"/>
  <c r="W235" i="46"/>
  <c r="V235" i="46"/>
  <c r="U235" i="46"/>
  <c r="T235" i="46"/>
  <c r="S235" i="46"/>
  <c r="Q235" i="46"/>
  <c r="O235" i="46"/>
  <c r="M235" i="46"/>
  <c r="K235" i="46"/>
  <c r="X234" i="46"/>
  <c r="W234" i="46"/>
  <c r="V234" i="46"/>
  <c r="U234" i="46"/>
  <c r="T234" i="46"/>
  <c r="S234" i="46"/>
  <c r="Q234" i="46"/>
  <c r="O234" i="46"/>
  <c r="M234" i="46"/>
  <c r="K234" i="46"/>
  <c r="X233" i="46"/>
  <c r="W233" i="46"/>
  <c r="V233" i="46"/>
  <c r="U233" i="46"/>
  <c r="T233" i="46"/>
  <c r="S233" i="46"/>
  <c r="Q233" i="46"/>
  <c r="O233" i="46"/>
  <c r="M233" i="46"/>
  <c r="K233" i="46"/>
  <c r="X232" i="46"/>
  <c r="W232" i="46"/>
  <c r="V232" i="46"/>
  <c r="U232" i="46"/>
  <c r="T232" i="46"/>
  <c r="S232" i="46"/>
  <c r="Q232" i="46"/>
  <c r="O232" i="46"/>
  <c r="M232" i="46"/>
  <c r="K232" i="46"/>
  <c r="X231" i="46"/>
  <c r="W231" i="46"/>
  <c r="V231" i="46"/>
  <c r="U231" i="46"/>
  <c r="T231" i="46"/>
  <c r="S231" i="46"/>
  <c r="Q231" i="46"/>
  <c r="O231" i="46"/>
  <c r="M231" i="46"/>
  <c r="K231" i="46"/>
  <c r="X230" i="46"/>
  <c r="W230" i="46"/>
  <c r="V230" i="46"/>
  <c r="U230" i="46"/>
  <c r="T230" i="46"/>
  <c r="S230" i="46"/>
  <c r="Q230" i="46"/>
  <c r="O230" i="46"/>
  <c r="M230" i="46"/>
  <c r="K230" i="46"/>
  <c r="X229" i="46"/>
  <c r="W229" i="46"/>
  <c r="V229" i="46"/>
  <c r="U229" i="46"/>
  <c r="T229" i="46"/>
  <c r="S229" i="46"/>
  <c r="Q229" i="46"/>
  <c r="O229" i="46"/>
  <c r="M229" i="46"/>
  <c r="K229" i="46"/>
  <c r="X228" i="46"/>
  <c r="W228" i="46"/>
  <c r="V228" i="46"/>
  <c r="U228" i="46"/>
  <c r="T228" i="46"/>
  <c r="S228" i="46"/>
  <c r="Q228" i="46"/>
  <c r="O228" i="46"/>
  <c r="M228" i="46"/>
  <c r="K228" i="46"/>
  <c r="X227" i="46"/>
  <c r="W227" i="46"/>
  <c r="V227" i="46"/>
  <c r="U227" i="46"/>
  <c r="T227" i="46"/>
  <c r="S227" i="46"/>
  <c r="Q227" i="46"/>
  <c r="O227" i="46"/>
  <c r="M227" i="46"/>
  <c r="K227" i="46"/>
  <c r="X226" i="46"/>
  <c r="W226" i="46"/>
  <c r="V226" i="46"/>
  <c r="U226" i="46"/>
  <c r="T226" i="46"/>
  <c r="S226" i="46"/>
  <c r="Q226" i="46"/>
  <c r="O226" i="46"/>
  <c r="M226" i="46"/>
  <c r="K226" i="46"/>
  <c r="X225" i="46"/>
  <c r="W225" i="46"/>
  <c r="V225" i="46"/>
  <c r="U225" i="46"/>
  <c r="T225" i="46"/>
  <c r="S225" i="46"/>
  <c r="Q225" i="46"/>
  <c r="O225" i="46"/>
  <c r="M225" i="46"/>
  <c r="K225" i="46"/>
  <c r="X224" i="46"/>
  <c r="W224" i="46"/>
  <c r="V224" i="46"/>
  <c r="U224" i="46"/>
  <c r="T224" i="46"/>
  <c r="S224" i="46"/>
  <c r="Q224" i="46"/>
  <c r="O224" i="46"/>
  <c r="M224" i="46"/>
  <c r="K224" i="46"/>
  <c r="X223" i="46"/>
  <c r="W223" i="46"/>
  <c r="V223" i="46"/>
  <c r="U223" i="46"/>
  <c r="T223" i="46"/>
  <c r="S223" i="46"/>
  <c r="Q223" i="46"/>
  <c r="O223" i="46"/>
  <c r="M223" i="46"/>
  <c r="K223" i="46"/>
  <c r="X222" i="46"/>
  <c r="W222" i="46"/>
  <c r="V222" i="46"/>
  <c r="U222" i="46"/>
  <c r="T222" i="46"/>
  <c r="S222" i="46"/>
  <c r="Q222" i="46"/>
  <c r="O222" i="46"/>
  <c r="M222" i="46"/>
  <c r="K222" i="46"/>
  <c r="X221" i="46"/>
  <c r="W221" i="46"/>
  <c r="V221" i="46"/>
  <c r="U221" i="46"/>
  <c r="T221" i="46"/>
  <c r="S221" i="46"/>
  <c r="Q221" i="46"/>
  <c r="O221" i="46"/>
  <c r="M221" i="46"/>
  <c r="K221" i="46"/>
  <c r="X220" i="46"/>
  <c r="W220" i="46"/>
  <c r="V220" i="46"/>
  <c r="U220" i="46"/>
  <c r="T220" i="46"/>
  <c r="S220" i="46"/>
  <c r="Q220" i="46"/>
  <c r="O220" i="46"/>
  <c r="M220" i="46"/>
  <c r="K220" i="46"/>
  <c r="X219" i="46"/>
  <c r="W219" i="46"/>
  <c r="V219" i="46"/>
  <c r="U219" i="46"/>
  <c r="T219" i="46"/>
  <c r="S219" i="46"/>
  <c r="Q219" i="46"/>
  <c r="O219" i="46"/>
  <c r="M219" i="46"/>
  <c r="K219" i="46"/>
  <c r="X218" i="46"/>
  <c r="W218" i="46"/>
  <c r="V218" i="46"/>
  <c r="U218" i="46"/>
  <c r="T218" i="46"/>
  <c r="S218" i="46"/>
  <c r="Q218" i="46"/>
  <c r="O218" i="46"/>
  <c r="M218" i="46"/>
  <c r="K218" i="46"/>
  <c r="X217" i="46"/>
  <c r="W217" i="46"/>
  <c r="V217" i="46"/>
  <c r="U217" i="46"/>
  <c r="T217" i="46"/>
  <c r="S217" i="46"/>
  <c r="Q217" i="46"/>
  <c r="O217" i="46"/>
  <c r="M217" i="46"/>
  <c r="K217" i="46"/>
  <c r="X216" i="46"/>
  <c r="W216" i="46"/>
  <c r="V216" i="46"/>
  <c r="U216" i="46"/>
  <c r="T216" i="46"/>
  <c r="S216" i="46"/>
  <c r="Q216" i="46"/>
  <c r="O216" i="46"/>
  <c r="M216" i="46"/>
  <c r="K216" i="46"/>
  <c r="X215" i="46"/>
  <c r="W215" i="46"/>
  <c r="V215" i="46"/>
  <c r="U215" i="46"/>
  <c r="T215" i="46"/>
  <c r="S215" i="46"/>
  <c r="Q215" i="46"/>
  <c r="O215" i="46"/>
  <c r="M215" i="46"/>
  <c r="K215" i="46"/>
  <c r="X214" i="46"/>
  <c r="W214" i="46"/>
  <c r="V214" i="46"/>
  <c r="U214" i="46"/>
  <c r="T214" i="46"/>
  <c r="S214" i="46"/>
  <c r="Q214" i="46"/>
  <c r="O214" i="46"/>
  <c r="M214" i="46"/>
  <c r="K214" i="46"/>
  <c r="X213" i="46"/>
  <c r="W213" i="46"/>
  <c r="V213" i="46"/>
  <c r="U213" i="46"/>
  <c r="T213" i="46"/>
  <c r="S213" i="46"/>
  <c r="Q213" i="46"/>
  <c r="O213" i="46"/>
  <c r="M213" i="46"/>
  <c r="K213" i="46"/>
  <c r="X212" i="46"/>
  <c r="W212" i="46"/>
  <c r="V212" i="46"/>
  <c r="U212" i="46"/>
  <c r="T212" i="46"/>
  <c r="S212" i="46"/>
  <c r="Q212" i="46"/>
  <c r="O212" i="46"/>
  <c r="M212" i="46"/>
  <c r="K212" i="46"/>
  <c r="X211" i="46"/>
  <c r="W211" i="46"/>
  <c r="V211" i="46"/>
  <c r="U211" i="46"/>
  <c r="T211" i="46"/>
  <c r="S211" i="46"/>
  <c r="Q211" i="46"/>
  <c r="O211" i="46"/>
  <c r="M211" i="46"/>
  <c r="K211" i="46"/>
  <c r="X210" i="46"/>
  <c r="W210" i="46"/>
  <c r="V210" i="46"/>
  <c r="U210" i="46"/>
  <c r="T210" i="46"/>
  <c r="S210" i="46"/>
  <c r="Q210" i="46"/>
  <c r="O210" i="46"/>
  <c r="M210" i="46"/>
  <c r="K210" i="46"/>
  <c r="X209" i="46"/>
  <c r="W209" i="46"/>
  <c r="V209" i="46"/>
  <c r="U209" i="46"/>
  <c r="T209" i="46"/>
  <c r="S209" i="46"/>
  <c r="Q209" i="46"/>
  <c r="O209" i="46"/>
  <c r="M209" i="46"/>
  <c r="K209" i="46"/>
  <c r="X208" i="46"/>
  <c r="W208" i="46"/>
  <c r="V208" i="46"/>
  <c r="U208" i="46"/>
  <c r="T208" i="46"/>
  <c r="S208" i="46"/>
  <c r="Q208" i="46"/>
  <c r="O208" i="46"/>
  <c r="M208" i="46"/>
  <c r="K208" i="46"/>
  <c r="X207" i="46"/>
  <c r="W207" i="46"/>
  <c r="V207" i="46"/>
  <c r="U207" i="46"/>
  <c r="T207" i="46"/>
  <c r="S207" i="46"/>
  <c r="Q207" i="46"/>
  <c r="O207" i="46"/>
  <c r="M207" i="46"/>
  <c r="K207" i="46"/>
  <c r="X206" i="46"/>
  <c r="W206" i="46"/>
  <c r="V206" i="46"/>
  <c r="U206" i="46"/>
  <c r="T206" i="46"/>
  <c r="S206" i="46"/>
  <c r="Q206" i="46"/>
  <c r="O206" i="46"/>
  <c r="M206" i="46"/>
  <c r="K206" i="46"/>
  <c r="X205" i="46"/>
  <c r="W205" i="46"/>
  <c r="V205" i="46"/>
  <c r="U205" i="46"/>
  <c r="T205" i="46"/>
  <c r="S205" i="46"/>
  <c r="Q205" i="46"/>
  <c r="O205" i="46"/>
  <c r="M205" i="46"/>
  <c r="K205" i="46"/>
  <c r="X204" i="46"/>
  <c r="W204" i="46"/>
  <c r="V204" i="46"/>
  <c r="U204" i="46"/>
  <c r="T204" i="46"/>
  <c r="S204" i="46"/>
  <c r="Q204" i="46"/>
  <c r="O204" i="46"/>
  <c r="M204" i="46"/>
  <c r="K204" i="46"/>
  <c r="X203" i="46"/>
  <c r="W203" i="46"/>
  <c r="V203" i="46"/>
  <c r="U203" i="46"/>
  <c r="T203" i="46"/>
  <c r="S203" i="46"/>
  <c r="Q203" i="46"/>
  <c r="O203" i="46"/>
  <c r="M203" i="46"/>
  <c r="K203" i="46"/>
  <c r="X202" i="46"/>
  <c r="W202" i="46"/>
  <c r="V202" i="46"/>
  <c r="U202" i="46"/>
  <c r="T202" i="46"/>
  <c r="S202" i="46"/>
  <c r="Q202" i="46"/>
  <c r="O202" i="46"/>
  <c r="M202" i="46"/>
  <c r="K202" i="46"/>
  <c r="X201" i="46"/>
  <c r="W201" i="46"/>
  <c r="V201" i="46"/>
  <c r="U201" i="46"/>
  <c r="T201" i="46"/>
  <c r="S201" i="46"/>
  <c r="Q201" i="46"/>
  <c r="O201" i="46"/>
  <c r="M201" i="46"/>
  <c r="K201" i="46"/>
  <c r="X200" i="46"/>
  <c r="W200" i="46"/>
  <c r="V200" i="46"/>
  <c r="U200" i="46"/>
  <c r="T200" i="46"/>
  <c r="S200" i="46"/>
  <c r="Q200" i="46"/>
  <c r="O200" i="46"/>
  <c r="M200" i="46"/>
  <c r="K200" i="46"/>
  <c r="X199" i="46"/>
  <c r="W199" i="46"/>
  <c r="V199" i="46"/>
  <c r="U199" i="46"/>
  <c r="T199" i="46"/>
  <c r="S199" i="46"/>
  <c r="Q199" i="46"/>
  <c r="O199" i="46"/>
  <c r="M199" i="46"/>
  <c r="K199" i="46"/>
  <c r="X198" i="46"/>
  <c r="W198" i="46"/>
  <c r="V198" i="46"/>
  <c r="U198" i="46"/>
  <c r="T198" i="46"/>
  <c r="S198" i="46"/>
  <c r="Q198" i="46"/>
  <c r="O198" i="46"/>
  <c r="M198" i="46"/>
  <c r="K198" i="46"/>
  <c r="X197" i="46"/>
  <c r="W197" i="46"/>
  <c r="V197" i="46"/>
  <c r="U197" i="46"/>
  <c r="T197" i="46"/>
  <c r="S197" i="46"/>
  <c r="Q197" i="46"/>
  <c r="O197" i="46"/>
  <c r="M197" i="46"/>
  <c r="K197" i="46"/>
  <c r="X196" i="46"/>
  <c r="W196" i="46"/>
  <c r="V196" i="46"/>
  <c r="U196" i="46"/>
  <c r="T196" i="46"/>
  <c r="S196" i="46"/>
  <c r="Q196" i="46"/>
  <c r="O196" i="46"/>
  <c r="M196" i="46"/>
  <c r="K196" i="46"/>
  <c r="X195" i="46"/>
  <c r="W195" i="46"/>
  <c r="V195" i="46"/>
  <c r="U195" i="46"/>
  <c r="T195" i="46"/>
  <c r="S195" i="46"/>
  <c r="Q195" i="46"/>
  <c r="O195" i="46"/>
  <c r="M195" i="46"/>
  <c r="K195" i="46"/>
  <c r="X194" i="46"/>
  <c r="W194" i="46"/>
  <c r="V194" i="46"/>
  <c r="U194" i="46"/>
  <c r="T194" i="46"/>
  <c r="S194" i="46"/>
  <c r="Q194" i="46"/>
  <c r="O194" i="46"/>
  <c r="M194" i="46"/>
  <c r="K194" i="46"/>
  <c r="X193" i="46"/>
  <c r="W193" i="46"/>
  <c r="V193" i="46"/>
  <c r="U193" i="46"/>
  <c r="T193" i="46"/>
  <c r="S193" i="46"/>
  <c r="Q193" i="46"/>
  <c r="O193" i="46"/>
  <c r="M193" i="46"/>
  <c r="K193" i="46"/>
  <c r="X192" i="46"/>
  <c r="W192" i="46"/>
  <c r="V192" i="46"/>
  <c r="U192" i="46"/>
  <c r="T192" i="46"/>
  <c r="S192" i="46"/>
  <c r="Q192" i="46"/>
  <c r="O192" i="46"/>
  <c r="M192" i="46"/>
  <c r="K192" i="46"/>
  <c r="X191" i="46"/>
  <c r="W191" i="46"/>
  <c r="V191" i="46"/>
  <c r="U191" i="46"/>
  <c r="T191" i="46"/>
  <c r="S191" i="46"/>
  <c r="Q191" i="46"/>
  <c r="O191" i="46"/>
  <c r="M191" i="46"/>
  <c r="K191" i="46"/>
  <c r="X190" i="46"/>
  <c r="W190" i="46"/>
  <c r="V190" i="46"/>
  <c r="U190" i="46"/>
  <c r="T190" i="46"/>
  <c r="S190" i="46"/>
  <c r="Q190" i="46"/>
  <c r="O190" i="46"/>
  <c r="M190" i="46"/>
  <c r="K190" i="46"/>
  <c r="X189" i="46"/>
  <c r="W189" i="46"/>
  <c r="V189" i="46"/>
  <c r="U189" i="46"/>
  <c r="T189" i="46"/>
  <c r="S189" i="46"/>
  <c r="Q189" i="46"/>
  <c r="O189" i="46"/>
  <c r="M189" i="46"/>
  <c r="K189" i="46"/>
  <c r="X188" i="46"/>
  <c r="W188" i="46"/>
  <c r="V188" i="46"/>
  <c r="U188" i="46"/>
  <c r="T188" i="46"/>
  <c r="S188" i="46"/>
  <c r="Q188" i="46"/>
  <c r="O188" i="46"/>
  <c r="M188" i="46"/>
  <c r="K188" i="46"/>
  <c r="X187" i="46"/>
  <c r="W187" i="46"/>
  <c r="V187" i="46"/>
  <c r="U187" i="46"/>
  <c r="T187" i="46"/>
  <c r="S187" i="46"/>
  <c r="Q187" i="46"/>
  <c r="O187" i="46"/>
  <c r="M187" i="46"/>
  <c r="K187" i="46"/>
  <c r="X186" i="46"/>
  <c r="W186" i="46"/>
  <c r="V186" i="46"/>
  <c r="U186" i="46"/>
  <c r="T186" i="46"/>
  <c r="S186" i="46"/>
  <c r="Q186" i="46"/>
  <c r="O186" i="46"/>
  <c r="M186" i="46"/>
  <c r="K186" i="46"/>
  <c r="X185" i="46"/>
  <c r="W185" i="46"/>
  <c r="V185" i="46"/>
  <c r="U185" i="46"/>
  <c r="T185" i="46"/>
  <c r="S185" i="46"/>
  <c r="Q185" i="46"/>
  <c r="O185" i="46"/>
  <c r="M185" i="46"/>
  <c r="K185" i="46"/>
  <c r="X184" i="46"/>
  <c r="W184" i="46"/>
  <c r="V184" i="46"/>
  <c r="U184" i="46"/>
  <c r="T184" i="46"/>
  <c r="S184" i="46"/>
  <c r="Q184" i="46"/>
  <c r="O184" i="46"/>
  <c r="M184" i="46"/>
  <c r="K184" i="46"/>
  <c r="X183" i="46"/>
  <c r="W183" i="46"/>
  <c r="V183" i="46"/>
  <c r="U183" i="46"/>
  <c r="T183" i="46"/>
  <c r="S183" i="46"/>
  <c r="Q183" i="46"/>
  <c r="O183" i="46"/>
  <c r="M183" i="46"/>
  <c r="K183" i="46"/>
  <c r="X182" i="46"/>
  <c r="W182" i="46"/>
  <c r="V182" i="46"/>
  <c r="U182" i="46"/>
  <c r="T182" i="46"/>
  <c r="S182" i="46"/>
  <c r="Q182" i="46"/>
  <c r="O182" i="46"/>
  <c r="M182" i="46"/>
  <c r="K182" i="46"/>
  <c r="X181" i="46"/>
  <c r="W181" i="46"/>
  <c r="V181" i="46"/>
  <c r="U181" i="46"/>
  <c r="T181" i="46"/>
  <c r="S181" i="46"/>
  <c r="Q181" i="46"/>
  <c r="O181" i="46"/>
  <c r="M181" i="46"/>
  <c r="K181" i="46"/>
  <c r="X180" i="46"/>
  <c r="W180" i="46"/>
  <c r="V180" i="46"/>
  <c r="U180" i="46"/>
  <c r="T180" i="46"/>
  <c r="S180" i="46"/>
  <c r="Q180" i="46"/>
  <c r="O180" i="46"/>
  <c r="M180" i="46"/>
  <c r="K180" i="46"/>
  <c r="X179" i="46"/>
  <c r="W179" i="46"/>
  <c r="V179" i="46"/>
  <c r="U179" i="46"/>
  <c r="T179" i="46"/>
  <c r="S179" i="46"/>
  <c r="Q179" i="46"/>
  <c r="O179" i="46"/>
  <c r="M179" i="46"/>
  <c r="K179" i="46"/>
  <c r="X178" i="46"/>
  <c r="W178" i="46"/>
  <c r="V178" i="46"/>
  <c r="U178" i="46"/>
  <c r="T178" i="46"/>
  <c r="S178" i="46"/>
  <c r="Q178" i="46"/>
  <c r="O178" i="46"/>
  <c r="M178" i="46"/>
  <c r="K178" i="46"/>
  <c r="X177" i="46"/>
  <c r="W177" i="46"/>
  <c r="V177" i="46"/>
  <c r="U177" i="46"/>
  <c r="T177" i="46"/>
  <c r="S177" i="46"/>
  <c r="Q177" i="46"/>
  <c r="O177" i="46"/>
  <c r="M177" i="46"/>
  <c r="K177" i="46"/>
  <c r="X176" i="46"/>
  <c r="W176" i="46"/>
  <c r="V176" i="46"/>
  <c r="U176" i="46"/>
  <c r="T176" i="46"/>
  <c r="S176" i="46"/>
  <c r="Q176" i="46"/>
  <c r="O176" i="46"/>
  <c r="M176" i="46"/>
  <c r="K176" i="46"/>
  <c r="X175" i="46"/>
  <c r="W175" i="46"/>
  <c r="V175" i="46"/>
  <c r="U175" i="46"/>
  <c r="T175" i="46"/>
  <c r="S175" i="46"/>
  <c r="Q175" i="46"/>
  <c r="O175" i="46"/>
  <c r="M175" i="46"/>
  <c r="K175" i="46"/>
  <c r="X174" i="46"/>
  <c r="W174" i="46"/>
  <c r="V174" i="46"/>
  <c r="U174" i="46"/>
  <c r="T174" i="46"/>
  <c r="S174" i="46"/>
  <c r="Q174" i="46"/>
  <c r="O174" i="46"/>
  <c r="M174" i="46"/>
  <c r="K174" i="46"/>
  <c r="X173" i="46"/>
  <c r="W173" i="46"/>
  <c r="V173" i="46"/>
  <c r="U173" i="46"/>
  <c r="T173" i="46"/>
  <c r="S173" i="46"/>
  <c r="Q173" i="46"/>
  <c r="O173" i="46"/>
  <c r="M173" i="46"/>
  <c r="K173" i="46"/>
  <c r="X172" i="46"/>
  <c r="W172" i="46"/>
  <c r="V172" i="46"/>
  <c r="U172" i="46"/>
  <c r="T172" i="46"/>
  <c r="S172" i="46"/>
  <c r="Q172" i="46"/>
  <c r="O172" i="46"/>
  <c r="M172" i="46"/>
  <c r="K172" i="46"/>
  <c r="X171" i="46"/>
  <c r="W171" i="46"/>
  <c r="V171" i="46"/>
  <c r="U171" i="46"/>
  <c r="T171" i="46"/>
  <c r="S171" i="46"/>
  <c r="Q171" i="46"/>
  <c r="O171" i="46"/>
  <c r="M171" i="46"/>
  <c r="K171" i="46"/>
  <c r="X170" i="46"/>
  <c r="W170" i="46"/>
  <c r="V170" i="46"/>
  <c r="U170" i="46"/>
  <c r="T170" i="46"/>
  <c r="S170" i="46"/>
  <c r="Q170" i="46"/>
  <c r="O170" i="46"/>
  <c r="M170" i="46"/>
  <c r="K170" i="46"/>
  <c r="X169" i="46"/>
  <c r="W169" i="46"/>
  <c r="V169" i="46"/>
  <c r="U169" i="46"/>
  <c r="T169" i="46"/>
  <c r="S169" i="46"/>
  <c r="Q169" i="46"/>
  <c r="O169" i="46"/>
  <c r="M169" i="46"/>
  <c r="K169" i="46"/>
  <c r="X168" i="46"/>
  <c r="W168" i="46"/>
  <c r="V168" i="46"/>
  <c r="U168" i="46"/>
  <c r="T168" i="46"/>
  <c r="S168" i="46"/>
  <c r="Q168" i="46"/>
  <c r="O168" i="46"/>
  <c r="M168" i="46"/>
  <c r="K168" i="46"/>
  <c r="X167" i="46"/>
  <c r="W167" i="46"/>
  <c r="V167" i="46"/>
  <c r="U167" i="46"/>
  <c r="T167" i="46"/>
  <c r="S167" i="46"/>
  <c r="Q167" i="46"/>
  <c r="O167" i="46"/>
  <c r="M167" i="46"/>
  <c r="K167" i="46"/>
  <c r="X166" i="46"/>
  <c r="W166" i="46"/>
  <c r="V166" i="46"/>
  <c r="U166" i="46"/>
  <c r="T166" i="46"/>
  <c r="S166" i="46"/>
  <c r="Q166" i="46"/>
  <c r="O166" i="46"/>
  <c r="M166" i="46"/>
  <c r="K166" i="46"/>
  <c r="X165" i="46"/>
  <c r="W165" i="46"/>
  <c r="V165" i="46"/>
  <c r="U165" i="46"/>
  <c r="T165" i="46"/>
  <c r="S165" i="46"/>
  <c r="Q165" i="46"/>
  <c r="O165" i="46"/>
  <c r="M165" i="46"/>
  <c r="K165" i="46"/>
  <c r="X164" i="46"/>
  <c r="W164" i="46"/>
  <c r="V164" i="46"/>
  <c r="U164" i="46"/>
  <c r="T164" i="46"/>
  <c r="S164" i="46"/>
  <c r="Q164" i="46"/>
  <c r="O164" i="46"/>
  <c r="M164" i="46"/>
  <c r="K164" i="46"/>
  <c r="X163" i="46"/>
  <c r="W163" i="46"/>
  <c r="V163" i="46"/>
  <c r="U163" i="46"/>
  <c r="T163" i="46"/>
  <c r="S163" i="46"/>
  <c r="Q163" i="46"/>
  <c r="O163" i="46"/>
  <c r="M163" i="46"/>
  <c r="K163" i="46"/>
  <c r="X162" i="46"/>
  <c r="W162" i="46"/>
  <c r="V162" i="46"/>
  <c r="U162" i="46"/>
  <c r="T162" i="46"/>
  <c r="S162" i="46"/>
  <c r="Q162" i="46"/>
  <c r="O162" i="46"/>
  <c r="M162" i="46"/>
  <c r="K162" i="46"/>
  <c r="X161" i="46"/>
  <c r="W161" i="46"/>
  <c r="V161" i="46"/>
  <c r="U161" i="46"/>
  <c r="T161" i="46"/>
  <c r="S161" i="46"/>
  <c r="Q161" i="46"/>
  <c r="O161" i="46"/>
  <c r="M161" i="46"/>
  <c r="K161" i="46"/>
  <c r="X160" i="46"/>
  <c r="W160" i="46"/>
  <c r="V160" i="46"/>
  <c r="U160" i="46"/>
  <c r="T160" i="46"/>
  <c r="S160" i="46"/>
  <c r="Q160" i="46"/>
  <c r="O160" i="46"/>
  <c r="M160" i="46"/>
  <c r="K160" i="46"/>
  <c r="X159" i="46"/>
  <c r="W159" i="46"/>
  <c r="V159" i="46"/>
  <c r="U159" i="46"/>
  <c r="T159" i="46"/>
  <c r="S159" i="46"/>
  <c r="Q159" i="46"/>
  <c r="O159" i="46"/>
  <c r="M159" i="46"/>
  <c r="K159" i="46"/>
  <c r="X158" i="46"/>
  <c r="W158" i="46"/>
  <c r="V158" i="46"/>
  <c r="U158" i="46"/>
  <c r="T158" i="46"/>
  <c r="S158" i="46"/>
  <c r="Q158" i="46"/>
  <c r="O158" i="46"/>
  <c r="M158" i="46"/>
  <c r="K158" i="46"/>
  <c r="X157" i="46"/>
  <c r="W157" i="46"/>
  <c r="V157" i="46"/>
  <c r="U157" i="46"/>
  <c r="T157" i="46"/>
  <c r="S157" i="46"/>
  <c r="Q157" i="46"/>
  <c r="O157" i="46"/>
  <c r="M157" i="46"/>
  <c r="K157" i="46"/>
  <c r="X156" i="46"/>
  <c r="W156" i="46"/>
  <c r="V156" i="46"/>
  <c r="U156" i="46"/>
  <c r="T156" i="46"/>
  <c r="S156" i="46"/>
  <c r="Q156" i="46"/>
  <c r="O156" i="46"/>
  <c r="M156" i="46"/>
  <c r="K156" i="46"/>
  <c r="X155" i="46"/>
  <c r="W155" i="46"/>
  <c r="V155" i="46"/>
  <c r="U155" i="46"/>
  <c r="T155" i="46"/>
  <c r="S155" i="46"/>
  <c r="Q155" i="46"/>
  <c r="O155" i="46"/>
  <c r="M155" i="46"/>
  <c r="K155" i="46"/>
  <c r="X154" i="46"/>
  <c r="W154" i="46"/>
  <c r="V154" i="46"/>
  <c r="U154" i="46"/>
  <c r="T154" i="46"/>
  <c r="S154" i="46"/>
  <c r="Q154" i="46"/>
  <c r="O154" i="46"/>
  <c r="M154" i="46"/>
  <c r="K154" i="46"/>
  <c r="X153" i="46"/>
  <c r="W153" i="46"/>
  <c r="V153" i="46"/>
  <c r="U153" i="46"/>
  <c r="T153" i="46"/>
  <c r="S153" i="46"/>
  <c r="Q153" i="46"/>
  <c r="O153" i="46"/>
  <c r="M153" i="46"/>
  <c r="K153" i="46"/>
  <c r="X152" i="46"/>
  <c r="W152" i="46"/>
  <c r="V152" i="46"/>
  <c r="U152" i="46"/>
  <c r="T152" i="46"/>
  <c r="S152" i="46"/>
  <c r="Q152" i="46"/>
  <c r="O152" i="46"/>
  <c r="M152" i="46"/>
  <c r="K152" i="46"/>
  <c r="X151" i="46"/>
  <c r="W151" i="46"/>
  <c r="V151" i="46"/>
  <c r="U151" i="46"/>
  <c r="T151" i="46"/>
  <c r="S151" i="46"/>
  <c r="Q151" i="46"/>
  <c r="O151" i="46"/>
  <c r="M151" i="46"/>
  <c r="K151" i="46"/>
  <c r="X150" i="46"/>
  <c r="W150" i="46"/>
  <c r="V150" i="46"/>
  <c r="U150" i="46"/>
  <c r="T150" i="46"/>
  <c r="S150" i="46"/>
  <c r="Q150" i="46"/>
  <c r="O150" i="46"/>
  <c r="M150" i="46"/>
  <c r="K150" i="46"/>
  <c r="X149" i="46"/>
  <c r="W149" i="46"/>
  <c r="V149" i="46"/>
  <c r="U149" i="46"/>
  <c r="T149" i="46"/>
  <c r="S149" i="46"/>
  <c r="Q149" i="46"/>
  <c r="O149" i="46"/>
  <c r="M149" i="46"/>
  <c r="K149" i="46"/>
  <c r="X148" i="46"/>
  <c r="W148" i="46"/>
  <c r="V148" i="46"/>
  <c r="U148" i="46"/>
  <c r="T148" i="46"/>
  <c r="S148" i="46"/>
  <c r="Q148" i="46"/>
  <c r="O148" i="46"/>
  <c r="M148" i="46"/>
  <c r="K148" i="46"/>
  <c r="X147" i="46"/>
  <c r="W147" i="46"/>
  <c r="V147" i="46"/>
  <c r="U147" i="46"/>
  <c r="T147" i="46"/>
  <c r="S147" i="46"/>
  <c r="Q147" i="46"/>
  <c r="O147" i="46"/>
  <c r="M147" i="46"/>
  <c r="K147" i="46"/>
  <c r="X146" i="46"/>
  <c r="W146" i="46"/>
  <c r="V146" i="46"/>
  <c r="U146" i="46"/>
  <c r="T146" i="46"/>
  <c r="S146" i="46"/>
  <c r="Q146" i="46"/>
  <c r="O146" i="46"/>
  <c r="M146" i="46"/>
  <c r="K146" i="46"/>
  <c r="X145" i="46"/>
  <c r="W145" i="46"/>
  <c r="V145" i="46"/>
  <c r="U145" i="46"/>
  <c r="T145" i="46"/>
  <c r="S145" i="46"/>
  <c r="Q145" i="46"/>
  <c r="O145" i="46"/>
  <c r="M145" i="46"/>
  <c r="K145" i="46"/>
  <c r="X144" i="46"/>
  <c r="W144" i="46"/>
  <c r="V144" i="46"/>
  <c r="U144" i="46"/>
  <c r="T144" i="46"/>
  <c r="S144" i="46"/>
  <c r="Q144" i="46"/>
  <c r="O144" i="46"/>
  <c r="M144" i="46"/>
  <c r="K144" i="46"/>
  <c r="X143" i="46"/>
  <c r="W143" i="46"/>
  <c r="V143" i="46"/>
  <c r="U143" i="46"/>
  <c r="T143" i="46"/>
  <c r="S143" i="46"/>
  <c r="Q143" i="46"/>
  <c r="O143" i="46"/>
  <c r="M143" i="46"/>
  <c r="K143" i="46"/>
  <c r="X142" i="46"/>
  <c r="W142" i="46"/>
  <c r="V142" i="46"/>
  <c r="U142" i="46"/>
  <c r="T142" i="46"/>
  <c r="S142" i="46"/>
  <c r="Q142" i="46"/>
  <c r="O142" i="46"/>
  <c r="M142" i="46"/>
  <c r="K142" i="46"/>
  <c r="X141" i="46"/>
  <c r="W141" i="46"/>
  <c r="V141" i="46"/>
  <c r="U141" i="46"/>
  <c r="T141" i="46"/>
  <c r="S141" i="46"/>
  <c r="Q141" i="46"/>
  <c r="O141" i="46"/>
  <c r="M141" i="46"/>
  <c r="K141" i="46"/>
  <c r="X140" i="46"/>
  <c r="W140" i="46"/>
  <c r="V140" i="46"/>
  <c r="U140" i="46"/>
  <c r="T140" i="46"/>
  <c r="S140" i="46"/>
  <c r="Q140" i="46"/>
  <c r="O140" i="46"/>
  <c r="M140" i="46"/>
  <c r="K140" i="46"/>
  <c r="X139" i="46"/>
  <c r="W139" i="46"/>
  <c r="V139" i="46"/>
  <c r="U139" i="46"/>
  <c r="T139" i="46"/>
  <c r="S139" i="46"/>
  <c r="Q139" i="46"/>
  <c r="O139" i="46"/>
  <c r="M139" i="46"/>
  <c r="K139" i="46"/>
  <c r="X138" i="46"/>
  <c r="W138" i="46"/>
  <c r="V138" i="46"/>
  <c r="U138" i="46"/>
  <c r="T138" i="46"/>
  <c r="S138" i="46"/>
  <c r="Q138" i="46"/>
  <c r="O138" i="46"/>
  <c r="M138" i="46"/>
  <c r="K138" i="46"/>
  <c r="X137" i="46"/>
  <c r="W137" i="46"/>
  <c r="V137" i="46"/>
  <c r="U137" i="46"/>
  <c r="T137" i="46"/>
  <c r="S137" i="46"/>
  <c r="Q137" i="46"/>
  <c r="O137" i="46"/>
  <c r="M137" i="46"/>
  <c r="K137" i="46"/>
  <c r="X136" i="46"/>
  <c r="W136" i="46"/>
  <c r="V136" i="46"/>
  <c r="U136" i="46"/>
  <c r="T136" i="46"/>
  <c r="S136" i="46"/>
  <c r="Q136" i="46"/>
  <c r="O136" i="46"/>
  <c r="M136" i="46"/>
  <c r="K136" i="46"/>
  <c r="X135" i="46"/>
  <c r="W135" i="46"/>
  <c r="V135" i="46"/>
  <c r="U135" i="46"/>
  <c r="T135" i="46"/>
  <c r="S135" i="46"/>
  <c r="Q135" i="46"/>
  <c r="O135" i="46"/>
  <c r="M135" i="46"/>
  <c r="K135" i="46"/>
  <c r="X134" i="46"/>
  <c r="W134" i="46"/>
  <c r="V134" i="46"/>
  <c r="U134" i="46"/>
  <c r="T134" i="46"/>
  <c r="S134" i="46"/>
  <c r="Q134" i="46"/>
  <c r="O134" i="46"/>
  <c r="M134" i="46"/>
  <c r="K134" i="46"/>
  <c r="X133" i="46"/>
  <c r="W133" i="46"/>
  <c r="V133" i="46"/>
  <c r="U133" i="46"/>
  <c r="T133" i="46"/>
  <c r="S133" i="46"/>
  <c r="Q133" i="46"/>
  <c r="O133" i="46"/>
  <c r="M133" i="46"/>
  <c r="K133" i="46"/>
  <c r="X132" i="46"/>
  <c r="W132" i="46"/>
  <c r="V132" i="46"/>
  <c r="U132" i="46"/>
  <c r="T132" i="46"/>
  <c r="S132" i="46"/>
  <c r="Q132" i="46"/>
  <c r="O132" i="46"/>
  <c r="M132" i="46"/>
  <c r="K132" i="46"/>
  <c r="X131" i="46"/>
  <c r="W131" i="46"/>
  <c r="V131" i="46"/>
  <c r="U131" i="46"/>
  <c r="T131" i="46"/>
  <c r="S131" i="46"/>
  <c r="Q131" i="46"/>
  <c r="O131" i="46"/>
  <c r="M131" i="46"/>
  <c r="K131" i="46"/>
  <c r="X130" i="46"/>
  <c r="W130" i="46"/>
  <c r="V130" i="46"/>
  <c r="U130" i="46"/>
  <c r="T130" i="46"/>
  <c r="S130" i="46"/>
  <c r="Q130" i="46"/>
  <c r="O130" i="46"/>
  <c r="M130" i="46"/>
  <c r="K130" i="46"/>
  <c r="X129" i="46"/>
  <c r="W129" i="46"/>
  <c r="V129" i="46"/>
  <c r="U129" i="46"/>
  <c r="T129" i="46"/>
  <c r="S129" i="46"/>
  <c r="Q129" i="46"/>
  <c r="O129" i="46"/>
  <c r="M129" i="46"/>
  <c r="K129" i="46"/>
  <c r="X128" i="46"/>
  <c r="W128" i="46"/>
  <c r="V128" i="46"/>
  <c r="U128" i="46"/>
  <c r="T128" i="46"/>
  <c r="S128" i="46"/>
  <c r="Q128" i="46"/>
  <c r="O128" i="46"/>
  <c r="M128" i="46"/>
  <c r="K128" i="46"/>
  <c r="X127" i="46"/>
  <c r="W127" i="46"/>
  <c r="V127" i="46"/>
  <c r="U127" i="46"/>
  <c r="T127" i="46"/>
  <c r="S127" i="46"/>
  <c r="Q127" i="46"/>
  <c r="O127" i="46"/>
  <c r="M127" i="46"/>
  <c r="K127" i="46"/>
  <c r="X126" i="46"/>
  <c r="W126" i="46"/>
  <c r="V126" i="46"/>
  <c r="U126" i="46"/>
  <c r="T126" i="46"/>
  <c r="S126" i="46"/>
  <c r="Q126" i="46"/>
  <c r="O126" i="46"/>
  <c r="M126" i="46"/>
  <c r="K126" i="46"/>
  <c r="X125" i="46"/>
  <c r="W125" i="46"/>
  <c r="V125" i="46"/>
  <c r="U125" i="46"/>
  <c r="T125" i="46"/>
  <c r="S125" i="46"/>
  <c r="Q125" i="46"/>
  <c r="O125" i="46"/>
  <c r="M125" i="46"/>
  <c r="K125" i="46"/>
  <c r="X124" i="46"/>
  <c r="W124" i="46"/>
  <c r="V124" i="46"/>
  <c r="U124" i="46"/>
  <c r="T124" i="46"/>
  <c r="S124" i="46"/>
  <c r="Q124" i="46"/>
  <c r="O124" i="46"/>
  <c r="M124" i="46"/>
  <c r="K124" i="46"/>
  <c r="X123" i="46"/>
  <c r="W123" i="46"/>
  <c r="V123" i="46"/>
  <c r="U123" i="46"/>
  <c r="T123" i="46"/>
  <c r="S123" i="46"/>
  <c r="Q123" i="46"/>
  <c r="O123" i="46"/>
  <c r="M123" i="46"/>
  <c r="K123" i="46"/>
  <c r="X122" i="46"/>
  <c r="W122" i="46"/>
  <c r="V122" i="46"/>
  <c r="U122" i="46"/>
  <c r="T122" i="46"/>
  <c r="S122" i="46"/>
  <c r="Q122" i="46"/>
  <c r="O122" i="46"/>
  <c r="M122" i="46"/>
  <c r="K122" i="46"/>
  <c r="X121" i="46"/>
  <c r="W121" i="46"/>
  <c r="V121" i="46"/>
  <c r="U121" i="46"/>
  <c r="T121" i="46"/>
  <c r="S121" i="46"/>
  <c r="Q121" i="46"/>
  <c r="O121" i="46"/>
  <c r="M121" i="46"/>
  <c r="K121" i="46"/>
  <c r="X120" i="46"/>
  <c r="W120" i="46"/>
  <c r="V120" i="46"/>
  <c r="U120" i="46"/>
  <c r="T120" i="46"/>
  <c r="S120" i="46"/>
  <c r="Q120" i="46"/>
  <c r="O120" i="46"/>
  <c r="M120" i="46"/>
  <c r="K120" i="46"/>
  <c r="X119" i="46"/>
  <c r="W119" i="46"/>
  <c r="V119" i="46"/>
  <c r="U119" i="46"/>
  <c r="T119" i="46"/>
  <c r="S119" i="46"/>
  <c r="Q119" i="46"/>
  <c r="O119" i="46"/>
  <c r="M119" i="46"/>
  <c r="K119" i="46"/>
  <c r="X118" i="46"/>
  <c r="W118" i="46"/>
  <c r="V118" i="46"/>
  <c r="U118" i="46"/>
  <c r="T118" i="46"/>
  <c r="S118" i="46"/>
  <c r="Q118" i="46"/>
  <c r="O118" i="46"/>
  <c r="M118" i="46"/>
  <c r="K118" i="46"/>
  <c r="X117" i="46"/>
  <c r="W117" i="46"/>
  <c r="V117" i="46"/>
  <c r="U117" i="46"/>
  <c r="T117" i="46"/>
  <c r="S117" i="46"/>
  <c r="Q117" i="46"/>
  <c r="O117" i="46"/>
  <c r="M117" i="46"/>
  <c r="K117" i="46"/>
  <c r="X116" i="46"/>
  <c r="W116" i="46"/>
  <c r="V116" i="46"/>
  <c r="U116" i="46"/>
  <c r="T116" i="46"/>
  <c r="S116" i="46"/>
  <c r="Q116" i="46"/>
  <c r="O116" i="46"/>
  <c r="M116" i="46"/>
  <c r="K116" i="46"/>
  <c r="X115" i="46"/>
  <c r="W115" i="46"/>
  <c r="V115" i="46"/>
  <c r="U115" i="46"/>
  <c r="T115" i="46"/>
  <c r="S115" i="46"/>
  <c r="Q115" i="46"/>
  <c r="O115" i="46"/>
  <c r="M115" i="46"/>
  <c r="K115" i="46"/>
  <c r="X114" i="46"/>
  <c r="W114" i="46"/>
  <c r="V114" i="46"/>
  <c r="U114" i="46"/>
  <c r="T114" i="46"/>
  <c r="S114" i="46"/>
  <c r="Q114" i="46"/>
  <c r="O114" i="46"/>
  <c r="M114" i="46"/>
  <c r="K114" i="46"/>
  <c r="X113" i="46"/>
  <c r="W113" i="46"/>
  <c r="V113" i="46"/>
  <c r="U113" i="46"/>
  <c r="T113" i="46"/>
  <c r="S113" i="46"/>
  <c r="Q113" i="46"/>
  <c r="O113" i="46"/>
  <c r="M113" i="46"/>
  <c r="K113" i="46"/>
  <c r="X112" i="46"/>
  <c r="W112" i="46"/>
  <c r="V112" i="46"/>
  <c r="U112" i="46"/>
  <c r="T112" i="46"/>
  <c r="S112" i="46"/>
  <c r="Q112" i="46"/>
  <c r="O112" i="46"/>
  <c r="M112" i="46"/>
  <c r="K112" i="46"/>
  <c r="X111" i="46"/>
  <c r="W111" i="46"/>
  <c r="V111" i="46"/>
  <c r="U111" i="46"/>
  <c r="T111" i="46"/>
  <c r="S111" i="46"/>
  <c r="Q111" i="46"/>
  <c r="O111" i="46"/>
  <c r="M111" i="46"/>
  <c r="K111" i="46"/>
  <c r="X110" i="46"/>
  <c r="W110" i="46"/>
  <c r="V110" i="46"/>
  <c r="U110" i="46"/>
  <c r="T110" i="46"/>
  <c r="S110" i="46"/>
  <c r="Q110" i="46"/>
  <c r="O110" i="46"/>
  <c r="M110" i="46"/>
  <c r="K110" i="46"/>
  <c r="X109" i="46"/>
  <c r="W109" i="46"/>
  <c r="V109" i="46"/>
  <c r="U109" i="46"/>
  <c r="T109" i="46"/>
  <c r="S109" i="46"/>
  <c r="Q109" i="46"/>
  <c r="O109" i="46"/>
  <c r="M109" i="46"/>
  <c r="K109" i="46"/>
  <c r="X108" i="46"/>
  <c r="W108" i="46"/>
  <c r="V108" i="46"/>
  <c r="U108" i="46"/>
  <c r="T108" i="46"/>
  <c r="S108" i="46"/>
  <c r="Q108" i="46"/>
  <c r="O108" i="46"/>
  <c r="M108" i="46"/>
  <c r="K108" i="46"/>
  <c r="X107" i="46"/>
  <c r="W107" i="46"/>
  <c r="V107" i="46"/>
  <c r="U107" i="46"/>
  <c r="T107" i="46"/>
  <c r="S107" i="46"/>
  <c r="Q107" i="46"/>
  <c r="O107" i="46"/>
  <c r="M107" i="46"/>
  <c r="K107" i="46"/>
  <c r="X106" i="46"/>
  <c r="W106" i="46"/>
  <c r="V106" i="46"/>
  <c r="U106" i="46"/>
  <c r="T106" i="46"/>
  <c r="S106" i="46"/>
  <c r="Q106" i="46"/>
  <c r="O106" i="46"/>
  <c r="M106" i="46"/>
  <c r="K106" i="46"/>
  <c r="X105" i="46"/>
  <c r="W105" i="46"/>
  <c r="V105" i="46"/>
  <c r="U105" i="46"/>
  <c r="T105" i="46"/>
  <c r="S105" i="46"/>
  <c r="Q105" i="46"/>
  <c r="O105" i="46"/>
  <c r="M105" i="46"/>
  <c r="K105" i="46"/>
  <c r="X104" i="46"/>
  <c r="W104" i="46"/>
  <c r="V104" i="46"/>
  <c r="U104" i="46"/>
  <c r="T104" i="46"/>
  <c r="S104" i="46"/>
  <c r="Q104" i="46"/>
  <c r="O104" i="46"/>
  <c r="M104" i="46"/>
  <c r="K104" i="46"/>
  <c r="X103" i="46"/>
  <c r="W103" i="46"/>
  <c r="V103" i="46"/>
  <c r="U103" i="46"/>
  <c r="T103" i="46"/>
  <c r="S103" i="46"/>
  <c r="Q103" i="46"/>
  <c r="O103" i="46"/>
  <c r="M103" i="46"/>
  <c r="K103" i="46"/>
  <c r="X102" i="46"/>
  <c r="W102" i="46"/>
  <c r="V102" i="46"/>
  <c r="U102" i="46"/>
  <c r="T102" i="46"/>
  <c r="S102" i="46"/>
  <c r="Q102" i="46"/>
  <c r="O102" i="46"/>
  <c r="M102" i="46"/>
  <c r="K102" i="46"/>
  <c r="X101" i="46"/>
  <c r="W101" i="46"/>
  <c r="V101" i="46"/>
  <c r="U101" i="46"/>
  <c r="T101" i="46"/>
  <c r="S101" i="46"/>
  <c r="Q101" i="46"/>
  <c r="O101" i="46"/>
  <c r="M101" i="46"/>
  <c r="K101" i="46"/>
  <c r="X100" i="46"/>
  <c r="W100" i="46"/>
  <c r="V100" i="46"/>
  <c r="U100" i="46"/>
  <c r="T100" i="46"/>
  <c r="S100" i="46"/>
  <c r="Q100" i="46"/>
  <c r="O100" i="46"/>
  <c r="M100" i="46"/>
  <c r="K100" i="46"/>
  <c r="X99" i="46"/>
  <c r="W99" i="46"/>
  <c r="V99" i="46"/>
  <c r="U99" i="46"/>
  <c r="T99" i="46"/>
  <c r="S99" i="46"/>
  <c r="Q99" i="46"/>
  <c r="O99" i="46"/>
  <c r="M99" i="46"/>
  <c r="K99" i="46"/>
  <c r="X98" i="46"/>
  <c r="W98" i="46"/>
  <c r="V98" i="46"/>
  <c r="U98" i="46"/>
  <c r="T98" i="46"/>
  <c r="S98" i="46"/>
  <c r="Q98" i="46"/>
  <c r="O98" i="46"/>
  <c r="M98" i="46"/>
  <c r="K98" i="46"/>
  <c r="X97" i="46"/>
  <c r="W97" i="46"/>
  <c r="V97" i="46"/>
  <c r="U97" i="46"/>
  <c r="T97" i="46"/>
  <c r="S97" i="46"/>
  <c r="Q97" i="46"/>
  <c r="O97" i="46"/>
  <c r="M97" i="46"/>
  <c r="K97" i="46"/>
  <c r="X96" i="46"/>
  <c r="W96" i="46"/>
  <c r="V96" i="46"/>
  <c r="U96" i="46"/>
  <c r="T96" i="46"/>
  <c r="S96" i="46"/>
  <c r="Q96" i="46"/>
  <c r="O96" i="46"/>
  <c r="M96" i="46"/>
  <c r="K96" i="46"/>
  <c r="X95" i="46"/>
  <c r="W95" i="46"/>
  <c r="V95" i="46"/>
  <c r="U95" i="46"/>
  <c r="T95" i="46"/>
  <c r="S95" i="46"/>
  <c r="Q95" i="46"/>
  <c r="O95" i="46"/>
  <c r="M95" i="46"/>
  <c r="K95" i="46"/>
  <c r="X94" i="46"/>
  <c r="W94" i="46"/>
  <c r="V94" i="46"/>
  <c r="U94" i="46"/>
  <c r="T94" i="46"/>
  <c r="S94" i="46"/>
  <c r="Q94" i="46"/>
  <c r="O94" i="46"/>
  <c r="M94" i="46"/>
  <c r="K94" i="46"/>
  <c r="X93" i="46"/>
  <c r="W93" i="46"/>
  <c r="V93" i="46"/>
  <c r="U93" i="46"/>
  <c r="T93" i="46"/>
  <c r="S93" i="46"/>
  <c r="Q93" i="46"/>
  <c r="O93" i="46"/>
  <c r="M93" i="46"/>
  <c r="K93" i="46"/>
  <c r="X92" i="46"/>
  <c r="W92" i="46"/>
  <c r="V92" i="46"/>
  <c r="U92" i="46"/>
  <c r="T92" i="46"/>
  <c r="S92" i="46"/>
  <c r="Q92" i="46"/>
  <c r="O92" i="46"/>
  <c r="M92" i="46"/>
  <c r="K92" i="46"/>
  <c r="X91" i="46"/>
  <c r="W91" i="46"/>
  <c r="V91" i="46"/>
  <c r="U91" i="46"/>
  <c r="T91" i="46"/>
  <c r="S91" i="46"/>
  <c r="Q91" i="46"/>
  <c r="O91" i="46"/>
  <c r="M91" i="46"/>
  <c r="K91" i="46"/>
  <c r="X90" i="46"/>
  <c r="W90" i="46"/>
  <c r="V90" i="46"/>
  <c r="U90" i="46"/>
  <c r="T90" i="46"/>
  <c r="S90" i="46"/>
  <c r="Q90" i="46"/>
  <c r="O90" i="46"/>
  <c r="M90" i="46"/>
  <c r="K90" i="46"/>
  <c r="X89" i="46"/>
  <c r="W89" i="46"/>
  <c r="V89" i="46"/>
  <c r="U89" i="46"/>
  <c r="T89" i="46"/>
  <c r="S89" i="46"/>
  <c r="Q89" i="46"/>
  <c r="O89" i="46"/>
  <c r="M89" i="46"/>
  <c r="K89" i="46"/>
  <c r="X88" i="46"/>
  <c r="W88" i="46"/>
  <c r="V88" i="46"/>
  <c r="U88" i="46"/>
  <c r="T88" i="46"/>
  <c r="S88" i="46"/>
  <c r="Q88" i="46"/>
  <c r="O88" i="46"/>
  <c r="M88" i="46"/>
  <c r="K88" i="46"/>
  <c r="X87" i="46"/>
  <c r="W87" i="46"/>
  <c r="V87" i="46"/>
  <c r="U87" i="46"/>
  <c r="T87" i="46"/>
  <c r="S87" i="46"/>
  <c r="Q87" i="46"/>
  <c r="O87" i="46"/>
  <c r="M87" i="46"/>
  <c r="K87" i="46"/>
  <c r="X86" i="46"/>
  <c r="W86" i="46"/>
  <c r="V86" i="46"/>
  <c r="U86" i="46"/>
  <c r="T86" i="46"/>
  <c r="S86" i="46"/>
  <c r="Q86" i="46"/>
  <c r="O86" i="46"/>
  <c r="M86" i="46"/>
  <c r="K86" i="46"/>
  <c r="X85" i="46"/>
  <c r="W85" i="46"/>
  <c r="V85" i="46"/>
  <c r="U85" i="46"/>
  <c r="T85" i="46"/>
  <c r="S85" i="46"/>
  <c r="Q85" i="46"/>
  <c r="O85" i="46"/>
  <c r="M85" i="46"/>
  <c r="K85" i="46"/>
  <c r="X84" i="46"/>
  <c r="W84" i="46"/>
  <c r="V84" i="46"/>
  <c r="U84" i="46"/>
  <c r="T84" i="46"/>
  <c r="S84" i="46"/>
  <c r="Q84" i="46"/>
  <c r="O84" i="46"/>
  <c r="M84" i="46"/>
  <c r="K84" i="46"/>
  <c r="X83" i="46"/>
  <c r="W83" i="46"/>
  <c r="V83" i="46"/>
  <c r="U83" i="46"/>
  <c r="T83" i="46"/>
  <c r="S83" i="46"/>
  <c r="Q83" i="46"/>
  <c r="O83" i="46"/>
  <c r="M83" i="46"/>
  <c r="K83" i="46"/>
  <c r="X82" i="46"/>
  <c r="W82" i="46"/>
  <c r="V82" i="46"/>
  <c r="U82" i="46"/>
  <c r="T82" i="46"/>
  <c r="S82" i="46"/>
  <c r="Q82" i="46"/>
  <c r="O82" i="46"/>
  <c r="M82" i="46"/>
  <c r="K82" i="46"/>
  <c r="X81" i="46"/>
  <c r="W81" i="46"/>
  <c r="V81" i="46"/>
  <c r="U81" i="46"/>
  <c r="T81" i="46"/>
  <c r="S81" i="46"/>
  <c r="Q81" i="46"/>
  <c r="O81" i="46"/>
  <c r="M81" i="46"/>
  <c r="K81" i="46"/>
  <c r="X80" i="46"/>
  <c r="W80" i="46"/>
  <c r="V80" i="46"/>
  <c r="U80" i="46"/>
  <c r="T80" i="46"/>
  <c r="S80" i="46"/>
  <c r="Q80" i="46"/>
  <c r="O80" i="46"/>
  <c r="M80" i="46"/>
  <c r="K80" i="46"/>
  <c r="X79" i="46"/>
  <c r="W79" i="46"/>
  <c r="V79" i="46"/>
  <c r="U79" i="46"/>
  <c r="T79" i="46"/>
  <c r="S79" i="46"/>
  <c r="Q79" i="46"/>
  <c r="O79" i="46"/>
  <c r="M79" i="46"/>
  <c r="K79" i="46"/>
  <c r="X78" i="46"/>
  <c r="W78" i="46"/>
  <c r="V78" i="46"/>
  <c r="U78" i="46"/>
  <c r="T78" i="46"/>
  <c r="S78" i="46"/>
  <c r="Q78" i="46"/>
  <c r="O78" i="46"/>
  <c r="M78" i="46"/>
  <c r="K78" i="46"/>
  <c r="X77" i="46"/>
  <c r="W77" i="46"/>
  <c r="V77" i="46"/>
  <c r="U77" i="46"/>
  <c r="T77" i="46"/>
  <c r="S77" i="46"/>
  <c r="Q77" i="46"/>
  <c r="O77" i="46"/>
  <c r="M77" i="46"/>
  <c r="K77" i="46"/>
  <c r="X76" i="46"/>
  <c r="W76" i="46"/>
  <c r="V76" i="46"/>
  <c r="U76" i="46"/>
  <c r="T76" i="46"/>
  <c r="S76" i="46"/>
  <c r="Q76" i="46"/>
  <c r="O76" i="46"/>
  <c r="M76" i="46"/>
  <c r="K76" i="46"/>
  <c r="X75" i="46"/>
  <c r="W75" i="46"/>
  <c r="V75" i="46"/>
  <c r="U75" i="46"/>
  <c r="T75" i="46"/>
  <c r="S75" i="46"/>
  <c r="Q75" i="46"/>
  <c r="O75" i="46"/>
  <c r="M75" i="46"/>
  <c r="K75" i="46"/>
  <c r="X74" i="46"/>
  <c r="W74" i="46"/>
  <c r="V74" i="46"/>
  <c r="U74" i="46"/>
  <c r="T74" i="46"/>
  <c r="S74" i="46"/>
  <c r="Q74" i="46"/>
  <c r="O74" i="46"/>
  <c r="M74" i="46"/>
  <c r="K74" i="46"/>
  <c r="X73" i="46"/>
  <c r="W73" i="46"/>
  <c r="V73" i="46"/>
  <c r="U73" i="46"/>
  <c r="T73" i="46"/>
  <c r="S73" i="46"/>
  <c r="Q73" i="46"/>
  <c r="O73" i="46"/>
  <c r="M73" i="46"/>
  <c r="K73" i="46"/>
  <c r="X72" i="46"/>
  <c r="W72" i="46"/>
  <c r="V72" i="46"/>
  <c r="U72" i="46"/>
  <c r="T72" i="46"/>
  <c r="S72" i="46"/>
  <c r="Q72" i="46"/>
  <c r="O72" i="46"/>
  <c r="M72" i="46"/>
  <c r="K72" i="46"/>
  <c r="X71" i="46"/>
  <c r="W71" i="46"/>
  <c r="V71" i="46"/>
  <c r="U71" i="46"/>
  <c r="T71" i="46"/>
  <c r="S71" i="46"/>
  <c r="Q71" i="46"/>
  <c r="O71" i="46"/>
  <c r="M71" i="46"/>
  <c r="K71" i="46"/>
  <c r="X70" i="46"/>
  <c r="W70" i="46"/>
  <c r="V70" i="46"/>
  <c r="U70" i="46"/>
  <c r="T70" i="46"/>
  <c r="S70" i="46"/>
  <c r="Q70" i="46"/>
  <c r="O70" i="46"/>
  <c r="M70" i="46"/>
  <c r="K70" i="46"/>
  <c r="X69" i="46"/>
  <c r="W69" i="46"/>
  <c r="V69" i="46"/>
  <c r="U69" i="46"/>
  <c r="T69" i="46"/>
  <c r="S69" i="46"/>
  <c r="Q69" i="46"/>
  <c r="O69" i="46"/>
  <c r="M69" i="46"/>
  <c r="K69" i="46"/>
  <c r="X68" i="46"/>
  <c r="W68" i="46"/>
  <c r="V68" i="46"/>
  <c r="U68" i="46"/>
  <c r="T68" i="46"/>
  <c r="S68" i="46"/>
  <c r="Q68" i="46"/>
  <c r="O68" i="46"/>
  <c r="M68" i="46"/>
  <c r="K68" i="46"/>
  <c r="X67" i="46"/>
  <c r="W67" i="46"/>
  <c r="V67" i="46"/>
  <c r="U67" i="46"/>
  <c r="T67" i="46"/>
  <c r="S67" i="46"/>
  <c r="Q67" i="46"/>
  <c r="O67" i="46"/>
  <c r="M67" i="46"/>
  <c r="K67" i="46"/>
  <c r="X66" i="46"/>
  <c r="W66" i="46"/>
  <c r="V66" i="46"/>
  <c r="U66" i="46"/>
  <c r="T66" i="46"/>
  <c r="S66" i="46"/>
  <c r="Q66" i="46"/>
  <c r="O66" i="46"/>
  <c r="M66" i="46"/>
  <c r="K66" i="46"/>
  <c r="X65" i="46"/>
  <c r="W65" i="46"/>
  <c r="V65" i="46"/>
  <c r="U65" i="46"/>
  <c r="T65" i="46"/>
  <c r="S65" i="46"/>
  <c r="Q65" i="46"/>
  <c r="O65" i="46"/>
  <c r="M65" i="46"/>
  <c r="K65" i="46"/>
  <c r="X64" i="46"/>
  <c r="W64" i="46"/>
  <c r="V64" i="46"/>
  <c r="U64" i="46"/>
  <c r="T64" i="46"/>
  <c r="S64" i="46"/>
  <c r="Q64" i="46"/>
  <c r="O64" i="46"/>
  <c r="M64" i="46"/>
  <c r="K64" i="46"/>
  <c r="X63" i="46"/>
  <c r="W63" i="46"/>
  <c r="V63" i="46"/>
  <c r="U63" i="46"/>
  <c r="T63" i="46"/>
  <c r="S63" i="46"/>
  <c r="Q63" i="46"/>
  <c r="O63" i="46"/>
  <c r="M63" i="46"/>
  <c r="K63" i="46"/>
  <c r="X62" i="46"/>
  <c r="W62" i="46"/>
  <c r="V62" i="46"/>
  <c r="U62" i="46"/>
  <c r="T62" i="46"/>
  <c r="S62" i="46"/>
  <c r="Q62" i="46"/>
  <c r="O62" i="46"/>
  <c r="M62" i="46"/>
  <c r="K62" i="46"/>
  <c r="X61" i="46"/>
  <c r="W61" i="46"/>
  <c r="V61" i="46"/>
  <c r="U61" i="46"/>
  <c r="T61" i="46"/>
  <c r="S61" i="46"/>
  <c r="Q61" i="46"/>
  <c r="O61" i="46"/>
  <c r="M61" i="46"/>
  <c r="K61" i="46"/>
  <c r="X60" i="46"/>
  <c r="W60" i="46"/>
  <c r="V60" i="46"/>
  <c r="U60" i="46"/>
  <c r="T60" i="46"/>
  <c r="S60" i="46"/>
  <c r="Q60" i="46"/>
  <c r="O60" i="46"/>
  <c r="M60" i="46"/>
  <c r="K60" i="46"/>
  <c r="X59" i="46"/>
  <c r="W59" i="46"/>
  <c r="V59" i="46"/>
  <c r="U59" i="46"/>
  <c r="T59" i="46"/>
  <c r="S59" i="46"/>
  <c r="Q59" i="46"/>
  <c r="O59" i="46"/>
  <c r="M59" i="46"/>
  <c r="K59" i="46"/>
  <c r="X58" i="46"/>
  <c r="W58" i="46"/>
  <c r="V58" i="46"/>
  <c r="U58" i="46"/>
  <c r="T58" i="46"/>
  <c r="S58" i="46"/>
  <c r="Q58" i="46"/>
  <c r="O58" i="46"/>
  <c r="M58" i="46"/>
  <c r="K58" i="46"/>
  <c r="X57" i="46"/>
  <c r="W57" i="46"/>
  <c r="V57" i="46"/>
  <c r="U57" i="46"/>
  <c r="T57" i="46"/>
  <c r="S57" i="46"/>
  <c r="Q57" i="46"/>
  <c r="O57" i="46"/>
  <c r="M57" i="46"/>
  <c r="K57" i="46"/>
  <c r="X56" i="46"/>
  <c r="W56" i="46"/>
  <c r="V56" i="46"/>
  <c r="U56" i="46"/>
  <c r="T56" i="46"/>
  <c r="S56" i="46"/>
  <c r="Q56" i="46"/>
  <c r="O56" i="46"/>
  <c r="M56" i="46"/>
  <c r="K56" i="46"/>
  <c r="X55" i="46"/>
  <c r="W55" i="46"/>
  <c r="V55" i="46"/>
  <c r="U55" i="46"/>
  <c r="T55" i="46"/>
  <c r="S55" i="46"/>
  <c r="Q55" i="46"/>
  <c r="O55" i="46"/>
  <c r="M55" i="46"/>
  <c r="K55" i="46"/>
  <c r="X54" i="46"/>
  <c r="W54" i="46"/>
  <c r="V54" i="46"/>
  <c r="U54" i="46"/>
  <c r="T54" i="46"/>
  <c r="S54" i="46"/>
  <c r="Q54" i="46"/>
  <c r="O54" i="46"/>
  <c r="M54" i="46"/>
  <c r="K54" i="46"/>
  <c r="X53" i="46"/>
  <c r="W53" i="46"/>
  <c r="V53" i="46"/>
  <c r="U53" i="46"/>
  <c r="T53" i="46"/>
  <c r="S53" i="46"/>
  <c r="Q53" i="46"/>
  <c r="O53" i="46"/>
  <c r="M53" i="46"/>
  <c r="K53" i="46"/>
  <c r="X52" i="46"/>
  <c r="W52" i="46"/>
  <c r="V52" i="46"/>
  <c r="U52" i="46"/>
  <c r="T52" i="46"/>
  <c r="S52" i="46"/>
  <c r="Q52" i="46"/>
  <c r="O52" i="46"/>
  <c r="M52" i="46"/>
  <c r="K52" i="46"/>
  <c r="X51" i="46"/>
  <c r="W51" i="46"/>
  <c r="V51" i="46"/>
  <c r="U51" i="46"/>
  <c r="T51" i="46"/>
  <c r="S51" i="46"/>
  <c r="Q51" i="46"/>
  <c r="O51" i="46"/>
  <c r="M51" i="46"/>
  <c r="K51" i="46"/>
  <c r="X50" i="46"/>
  <c r="W50" i="46"/>
  <c r="V50" i="46"/>
  <c r="U50" i="46"/>
  <c r="T50" i="46"/>
  <c r="S50" i="46"/>
  <c r="Q50" i="46"/>
  <c r="O50" i="46"/>
  <c r="M50" i="46"/>
  <c r="K50" i="46"/>
  <c r="X49" i="46"/>
  <c r="W49" i="46"/>
  <c r="V49" i="46"/>
  <c r="U49" i="46"/>
  <c r="T49" i="46"/>
  <c r="S49" i="46"/>
  <c r="Q49" i="46"/>
  <c r="O49" i="46"/>
  <c r="M49" i="46"/>
  <c r="K49" i="46"/>
  <c r="X48" i="46"/>
  <c r="W48" i="46"/>
  <c r="V48" i="46"/>
  <c r="U48" i="46"/>
  <c r="T48" i="46"/>
  <c r="S48" i="46"/>
  <c r="Q48" i="46"/>
  <c r="O48" i="46"/>
  <c r="M48" i="46"/>
  <c r="K48" i="46"/>
  <c r="X47" i="46"/>
  <c r="W47" i="46"/>
  <c r="V47" i="46"/>
  <c r="U47" i="46"/>
  <c r="T47" i="46"/>
  <c r="S47" i="46"/>
  <c r="Q47" i="46"/>
  <c r="O47" i="46"/>
  <c r="M47" i="46"/>
  <c r="K47" i="46"/>
  <c r="X46" i="46"/>
  <c r="W46" i="46"/>
  <c r="V46" i="46"/>
  <c r="U46" i="46"/>
  <c r="T46" i="46"/>
  <c r="S46" i="46"/>
  <c r="Q46" i="46"/>
  <c r="O46" i="46"/>
  <c r="M46" i="46"/>
  <c r="K46" i="46"/>
  <c r="X45" i="46"/>
  <c r="W45" i="46"/>
  <c r="V45" i="46"/>
  <c r="U45" i="46"/>
  <c r="T45" i="46"/>
  <c r="S45" i="46"/>
  <c r="Q45" i="46"/>
  <c r="O45" i="46"/>
  <c r="M45" i="46"/>
  <c r="K45" i="46"/>
  <c r="X44" i="46"/>
  <c r="W44" i="46"/>
  <c r="V44" i="46"/>
  <c r="U44" i="46"/>
  <c r="T44" i="46"/>
  <c r="S44" i="46"/>
  <c r="Q44" i="46"/>
  <c r="O44" i="46"/>
  <c r="M44" i="46"/>
  <c r="K44" i="46"/>
  <c r="X43" i="46"/>
  <c r="W43" i="46"/>
  <c r="V43" i="46"/>
  <c r="U43" i="46"/>
  <c r="T43" i="46"/>
  <c r="S43" i="46"/>
  <c r="Q43" i="46"/>
  <c r="O43" i="46"/>
  <c r="M43" i="46"/>
  <c r="K43" i="46"/>
  <c r="X42" i="46"/>
  <c r="W42" i="46"/>
  <c r="V42" i="46"/>
  <c r="U42" i="46"/>
  <c r="T42" i="46"/>
  <c r="S42" i="46"/>
  <c r="Q42" i="46"/>
  <c r="O42" i="46"/>
  <c r="M42" i="46"/>
  <c r="K42" i="46"/>
  <c r="X41" i="46"/>
  <c r="W41" i="46"/>
  <c r="V41" i="46"/>
  <c r="U41" i="46"/>
  <c r="T41" i="46"/>
  <c r="S41" i="46"/>
  <c r="Q41" i="46"/>
  <c r="O41" i="46"/>
  <c r="M41" i="46"/>
  <c r="K41" i="46"/>
  <c r="X40" i="46"/>
  <c r="W40" i="46"/>
  <c r="V40" i="46"/>
  <c r="U40" i="46"/>
  <c r="T40" i="46"/>
  <c r="S40" i="46"/>
  <c r="Q40" i="46"/>
  <c r="O40" i="46"/>
  <c r="M40" i="46"/>
  <c r="K40" i="46"/>
  <c r="X39" i="46"/>
  <c r="W39" i="46"/>
  <c r="V39" i="46"/>
  <c r="U39" i="46"/>
  <c r="T39" i="46"/>
  <c r="S39" i="46"/>
  <c r="Q39" i="46"/>
  <c r="O39" i="46"/>
  <c r="M39" i="46"/>
  <c r="K39" i="46"/>
  <c r="X38" i="46"/>
  <c r="W38" i="46"/>
  <c r="V38" i="46"/>
  <c r="U38" i="46"/>
  <c r="T38" i="46"/>
  <c r="S38" i="46"/>
  <c r="Q38" i="46"/>
  <c r="O38" i="46"/>
  <c r="M38" i="46"/>
  <c r="K38" i="46"/>
  <c r="X37" i="46"/>
  <c r="W37" i="46"/>
  <c r="V37" i="46"/>
  <c r="U37" i="46"/>
  <c r="T37" i="46"/>
  <c r="S37" i="46"/>
  <c r="Q37" i="46"/>
  <c r="O37" i="46"/>
  <c r="M37" i="46"/>
  <c r="K37" i="46"/>
  <c r="X36" i="46"/>
  <c r="W36" i="46"/>
  <c r="V36" i="46"/>
  <c r="U36" i="46"/>
  <c r="T36" i="46"/>
  <c r="S36" i="46"/>
  <c r="Q36" i="46"/>
  <c r="O36" i="46"/>
  <c r="M36" i="46"/>
  <c r="K36" i="46"/>
  <c r="X35" i="46"/>
  <c r="W35" i="46"/>
  <c r="V35" i="46"/>
  <c r="U35" i="46"/>
  <c r="T35" i="46"/>
  <c r="S35" i="46"/>
  <c r="Q35" i="46"/>
  <c r="O35" i="46"/>
  <c r="M35" i="46"/>
  <c r="K35" i="46"/>
  <c r="X34" i="46"/>
  <c r="W34" i="46"/>
  <c r="V34" i="46"/>
  <c r="U34" i="46"/>
  <c r="T34" i="46"/>
  <c r="S34" i="46"/>
  <c r="Q34" i="46"/>
  <c r="O34" i="46"/>
  <c r="M34" i="46"/>
  <c r="K34" i="46"/>
  <c r="X33" i="46"/>
  <c r="W33" i="46"/>
  <c r="V33" i="46"/>
  <c r="U33" i="46"/>
  <c r="T33" i="46"/>
  <c r="S33" i="46"/>
  <c r="Q33" i="46"/>
  <c r="O33" i="46"/>
  <c r="M33" i="46"/>
  <c r="K33" i="46"/>
  <c r="X32" i="46"/>
  <c r="W32" i="46"/>
  <c r="V32" i="46"/>
  <c r="U32" i="46"/>
  <c r="T32" i="46"/>
  <c r="S32" i="46"/>
  <c r="Q32" i="46"/>
  <c r="O32" i="46"/>
  <c r="M32" i="46"/>
  <c r="K32" i="46"/>
  <c r="X31" i="46"/>
  <c r="W31" i="46"/>
  <c r="V31" i="46"/>
  <c r="U31" i="46"/>
  <c r="T31" i="46"/>
  <c r="S31" i="46"/>
  <c r="Q31" i="46"/>
  <c r="O31" i="46"/>
  <c r="M31" i="46"/>
  <c r="K31" i="46"/>
  <c r="X30" i="46"/>
  <c r="W30" i="46"/>
  <c r="V30" i="46"/>
  <c r="U30" i="46"/>
  <c r="T30" i="46"/>
  <c r="S30" i="46"/>
  <c r="Q30" i="46"/>
  <c r="O30" i="46"/>
  <c r="M30" i="46"/>
  <c r="K30" i="46"/>
  <c r="X29" i="46"/>
  <c r="W29" i="46"/>
  <c r="V29" i="46"/>
  <c r="U29" i="46"/>
  <c r="T29" i="46"/>
  <c r="S29" i="46"/>
  <c r="Q29" i="46"/>
  <c r="O29" i="46"/>
  <c r="M29" i="46"/>
  <c r="K29" i="46"/>
  <c r="X28" i="46"/>
  <c r="W28" i="46"/>
  <c r="V28" i="46"/>
  <c r="U28" i="46"/>
  <c r="T28" i="46"/>
  <c r="S28" i="46"/>
  <c r="Q28" i="46"/>
  <c r="O28" i="46"/>
  <c r="M28" i="46"/>
  <c r="K28" i="46"/>
  <c r="X27" i="46"/>
  <c r="W27" i="46"/>
  <c r="V27" i="46"/>
  <c r="U27" i="46"/>
  <c r="T27" i="46"/>
  <c r="S27" i="46"/>
  <c r="Q27" i="46"/>
  <c r="O27" i="46"/>
  <c r="M27" i="46"/>
  <c r="K27" i="46"/>
  <c r="X26" i="46"/>
  <c r="W26" i="46"/>
  <c r="V26" i="46"/>
  <c r="U26" i="46"/>
  <c r="T26" i="46"/>
  <c r="S26" i="46"/>
  <c r="Q26" i="46"/>
  <c r="O26" i="46"/>
  <c r="M26" i="46"/>
  <c r="K26" i="46"/>
  <c r="X25" i="46"/>
  <c r="W25" i="46"/>
  <c r="V25" i="46"/>
  <c r="U25" i="46"/>
  <c r="T25" i="46"/>
  <c r="S25" i="46"/>
  <c r="Q25" i="46"/>
  <c r="O25" i="46"/>
  <c r="M25" i="46"/>
  <c r="K25" i="46"/>
  <c r="X24" i="46"/>
  <c r="W24" i="46"/>
  <c r="V24" i="46"/>
  <c r="U24" i="46"/>
  <c r="T24" i="46"/>
  <c r="S24" i="46"/>
  <c r="Q24" i="46"/>
  <c r="O24" i="46"/>
  <c r="M24" i="46"/>
  <c r="K24" i="46"/>
  <c r="X23" i="46"/>
  <c r="W23" i="46"/>
  <c r="V23" i="46"/>
  <c r="U23" i="46"/>
  <c r="T23" i="46"/>
  <c r="S23" i="46"/>
  <c r="Q23" i="46"/>
  <c r="O23" i="46"/>
  <c r="M23" i="46"/>
  <c r="K23" i="46"/>
  <c r="X22" i="46"/>
  <c r="W22" i="46"/>
  <c r="V22" i="46"/>
  <c r="U22" i="46"/>
  <c r="T22" i="46"/>
  <c r="S22" i="46"/>
  <c r="Q22" i="46"/>
  <c r="O22" i="46"/>
  <c r="M22" i="46"/>
  <c r="K22" i="46"/>
  <c r="X21" i="46"/>
  <c r="W21" i="46"/>
  <c r="V21" i="46"/>
  <c r="U21" i="46"/>
  <c r="T21" i="46"/>
  <c r="S21" i="46"/>
  <c r="Q21" i="46"/>
  <c r="O21" i="46"/>
  <c r="M21" i="46"/>
  <c r="K21" i="46"/>
  <c r="X20" i="46"/>
  <c r="W20" i="46"/>
  <c r="V20" i="46"/>
  <c r="U20" i="46"/>
  <c r="T20" i="46"/>
  <c r="S20" i="46"/>
  <c r="Q20" i="46"/>
  <c r="O20" i="46"/>
  <c r="M20" i="46"/>
  <c r="K20" i="46"/>
  <c r="X19" i="46"/>
  <c r="W19" i="46"/>
  <c r="V19" i="46"/>
  <c r="U19" i="46"/>
  <c r="T19" i="46"/>
  <c r="S19" i="46"/>
  <c r="Q19" i="46"/>
  <c r="O19" i="46"/>
  <c r="M19" i="46"/>
  <c r="K19" i="46"/>
  <c r="X18" i="46"/>
  <c r="W18" i="46"/>
  <c r="V18" i="46"/>
  <c r="U18" i="46"/>
  <c r="T18" i="46"/>
  <c r="S18" i="46"/>
  <c r="Q18" i="46"/>
  <c r="O18" i="46"/>
  <c r="M18" i="46"/>
  <c r="K18" i="46"/>
  <c r="X17" i="46"/>
  <c r="W17" i="46"/>
  <c r="V17" i="46"/>
  <c r="U17" i="46"/>
  <c r="T17" i="46"/>
  <c r="S17" i="46"/>
  <c r="Q17" i="46"/>
  <c r="O17" i="46"/>
  <c r="M17" i="46"/>
  <c r="K17" i="46"/>
  <c r="X16" i="46"/>
  <c r="W16" i="46"/>
  <c r="V16" i="46"/>
  <c r="U16" i="46"/>
  <c r="T16" i="46"/>
  <c r="S16" i="46"/>
  <c r="Q16" i="46"/>
  <c r="O16" i="46"/>
  <c r="M16" i="46"/>
  <c r="K16" i="46"/>
  <c r="X15" i="46"/>
  <c r="W15" i="46"/>
  <c r="V15" i="46"/>
  <c r="U15" i="46"/>
  <c r="T15" i="46"/>
  <c r="S15" i="46"/>
  <c r="Q15" i="46"/>
  <c r="O15" i="46"/>
  <c r="M15" i="46"/>
  <c r="K15" i="46"/>
  <c r="X14" i="46"/>
  <c r="W14" i="46"/>
  <c r="V14" i="46"/>
  <c r="U14" i="46"/>
  <c r="T14" i="46"/>
  <c r="S14" i="46"/>
  <c r="Q14" i="46"/>
  <c r="O14" i="46"/>
  <c r="M14" i="46"/>
  <c r="K14" i="46"/>
  <c r="X13" i="46"/>
  <c r="W13" i="46"/>
  <c r="V13" i="46"/>
  <c r="U13" i="46"/>
  <c r="T13" i="46"/>
  <c r="S13" i="46"/>
  <c r="Q13" i="46"/>
  <c r="O13" i="46"/>
  <c r="M13" i="46"/>
  <c r="K13" i="46"/>
  <c r="X12" i="46"/>
  <c r="W12" i="46"/>
  <c r="V12" i="46"/>
  <c r="U12" i="46"/>
  <c r="T12" i="46"/>
  <c r="S12" i="46"/>
  <c r="Q12" i="46"/>
  <c r="O12" i="46"/>
  <c r="M12" i="46"/>
  <c r="K12" i="46"/>
  <c r="X11" i="46"/>
  <c r="W11" i="46"/>
  <c r="V11" i="46"/>
  <c r="U11" i="46"/>
  <c r="T11" i="46"/>
  <c r="S11" i="46"/>
  <c r="Q11" i="46"/>
  <c r="O11" i="46"/>
  <c r="M11" i="46"/>
  <c r="K11" i="46"/>
  <c r="X10" i="46"/>
  <c r="W10" i="46"/>
  <c r="V10" i="46"/>
  <c r="U10" i="46"/>
  <c r="T10" i="46"/>
  <c r="S10" i="46"/>
  <c r="Q10" i="46"/>
  <c r="O10" i="46"/>
  <c r="M10" i="46"/>
  <c r="K10" i="46"/>
  <c r="X9" i="46"/>
  <c r="W9" i="46"/>
  <c r="V9" i="46"/>
  <c r="U9" i="46"/>
  <c r="T9" i="46"/>
  <c r="S9" i="46"/>
  <c r="Q9" i="46"/>
  <c r="O9" i="46"/>
  <c r="M9" i="46"/>
  <c r="K9" i="46"/>
  <c r="X8" i="46"/>
  <c r="W8" i="46"/>
  <c r="V8" i="46"/>
  <c r="U8" i="46"/>
  <c r="T8" i="46"/>
  <c r="S8" i="46"/>
  <c r="Q8" i="46"/>
  <c r="O8" i="46"/>
  <c r="M8" i="46"/>
  <c r="K8" i="46"/>
  <c r="X7" i="46"/>
  <c r="W7" i="46"/>
  <c r="V7" i="46"/>
  <c r="U7" i="46"/>
  <c r="T7" i="46"/>
  <c r="S7" i="46"/>
  <c r="Q7" i="46"/>
  <c r="O7" i="46"/>
  <c r="M7" i="46"/>
  <c r="K7" i="46"/>
  <c r="X375" i="45"/>
  <c r="W375" i="45"/>
  <c r="V375" i="45"/>
  <c r="U375" i="45"/>
  <c r="T375" i="45"/>
  <c r="S375" i="45"/>
  <c r="Q375" i="45"/>
  <c r="O375" i="45"/>
  <c r="M375" i="45"/>
  <c r="K375" i="45"/>
  <c r="X374" i="45"/>
  <c r="W374" i="45"/>
  <c r="V374" i="45"/>
  <c r="U374" i="45"/>
  <c r="T374" i="45"/>
  <c r="S374" i="45"/>
  <c r="Q374" i="45"/>
  <c r="O374" i="45"/>
  <c r="M374" i="45"/>
  <c r="K374" i="45"/>
  <c r="X373" i="45"/>
  <c r="W373" i="45"/>
  <c r="V373" i="45"/>
  <c r="U373" i="45"/>
  <c r="T373" i="45"/>
  <c r="S373" i="45"/>
  <c r="Q373" i="45"/>
  <c r="O373" i="45"/>
  <c r="M373" i="45"/>
  <c r="K373" i="45"/>
  <c r="X372" i="45"/>
  <c r="W372" i="45"/>
  <c r="V372" i="45"/>
  <c r="U372" i="45"/>
  <c r="T372" i="45"/>
  <c r="S372" i="45"/>
  <c r="Q372" i="45"/>
  <c r="O372" i="45"/>
  <c r="M372" i="45"/>
  <c r="K372" i="45"/>
  <c r="X371" i="45"/>
  <c r="W371" i="45"/>
  <c r="V371" i="45"/>
  <c r="U371" i="45"/>
  <c r="T371" i="45"/>
  <c r="S371" i="45"/>
  <c r="Q371" i="45"/>
  <c r="O371" i="45"/>
  <c r="M371" i="45"/>
  <c r="K371" i="45"/>
  <c r="X370" i="45"/>
  <c r="W370" i="45"/>
  <c r="V370" i="45"/>
  <c r="U370" i="45"/>
  <c r="T370" i="45"/>
  <c r="S370" i="45"/>
  <c r="Q370" i="45"/>
  <c r="O370" i="45"/>
  <c r="M370" i="45"/>
  <c r="K370" i="45"/>
  <c r="X369" i="45"/>
  <c r="W369" i="45"/>
  <c r="V369" i="45"/>
  <c r="U369" i="45"/>
  <c r="T369" i="45"/>
  <c r="S369" i="45"/>
  <c r="Q369" i="45"/>
  <c r="O369" i="45"/>
  <c r="M369" i="45"/>
  <c r="K369" i="45"/>
  <c r="X368" i="45"/>
  <c r="W368" i="45"/>
  <c r="V368" i="45"/>
  <c r="U368" i="45"/>
  <c r="T368" i="45"/>
  <c r="S368" i="45"/>
  <c r="Q368" i="45"/>
  <c r="O368" i="45"/>
  <c r="M368" i="45"/>
  <c r="K368" i="45"/>
  <c r="X367" i="45"/>
  <c r="W367" i="45"/>
  <c r="V367" i="45"/>
  <c r="U367" i="45"/>
  <c r="T367" i="45"/>
  <c r="S367" i="45"/>
  <c r="Q367" i="45"/>
  <c r="O367" i="45"/>
  <c r="M367" i="45"/>
  <c r="K367" i="45"/>
  <c r="X366" i="45"/>
  <c r="W366" i="45"/>
  <c r="V366" i="45"/>
  <c r="U366" i="45"/>
  <c r="T366" i="45"/>
  <c r="S366" i="45"/>
  <c r="Q366" i="45"/>
  <c r="O366" i="45"/>
  <c r="M366" i="45"/>
  <c r="K366" i="45"/>
  <c r="X365" i="45"/>
  <c r="W365" i="45"/>
  <c r="V365" i="45"/>
  <c r="U365" i="45"/>
  <c r="T365" i="45"/>
  <c r="S365" i="45"/>
  <c r="Q365" i="45"/>
  <c r="O365" i="45"/>
  <c r="M365" i="45"/>
  <c r="K365" i="45"/>
  <c r="X364" i="45"/>
  <c r="W364" i="45"/>
  <c r="V364" i="45"/>
  <c r="U364" i="45"/>
  <c r="T364" i="45"/>
  <c r="S364" i="45"/>
  <c r="Q364" i="45"/>
  <c r="O364" i="45"/>
  <c r="M364" i="45"/>
  <c r="K364" i="45"/>
  <c r="X363" i="45"/>
  <c r="W363" i="45"/>
  <c r="V363" i="45"/>
  <c r="U363" i="45"/>
  <c r="T363" i="45"/>
  <c r="S363" i="45"/>
  <c r="Q363" i="45"/>
  <c r="O363" i="45"/>
  <c r="M363" i="45"/>
  <c r="K363" i="45"/>
  <c r="X362" i="45"/>
  <c r="W362" i="45"/>
  <c r="V362" i="45"/>
  <c r="U362" i="45"/>
  <c r="T362" i="45"/>
  <c r="S362" i="45"/>
  <c r="Q362" i="45"/>
  <c r="O362" i="45"/>
  <c r="M362" i="45"/>
  <c r="K362" i="45"/>
  <c r="X361" i="45"/>
  <c r="W361" i="45"/>
  <c r="V361" i="45"/>
  <c r="U361" i="45"/>
  <c r="T361" i="45"/>
  <c r="S361" i="45"/>
  <c r="Q361" i="45"/>
  <c r="O361" i="45"/>
  <c r="M361" i="45"/>
  <c r="K361" i="45"/>
  <c r="X360" i="45"/>
  <c r="W360" i="45"/>
  <c r="V360" i="45"/>
  <c r="U360" i="45"/>
  <c r="T360" i="45"/>
  <c r="S360" i="45"/>
  <c r="Q360" i="45"/>
  <c r="O360" i="45"/>
  <c r="M360" i="45"/>
  <c r="K360" i="45"/>
  <c r="X359" i="45"/>
  <c r="W359" i="45"/>
  <c r="V359" i="45"/>
  <c r="U359" i="45"/>
  <c r="T359" i="45"/>
  <c r="S359" i="45"/>
  <c r="Q359" i="45"/>
  <c r="O359" i="45"/>
  <c r="M359" i="45"/>
  <c r="K359" i="45"/>
  <c r="X358" i="45"/>
  <c r="W358" i="45"/>
  <c r="V358" i="45"/>
  <c r="U358" i="45"/>
  <c r="T358" i="45"/>
  <c r="S358" i="45"/>
  <c r="Q358" i="45"/>
  <c r="O358" i="45"/>
  <c r="M358" i="45"/>
  <c r="K358" i="45"/>
  <c r="X357" i="45"/>
  <c r="W357" i="45"/>
  <c r="V357" i="45"/>
  <c r="U357" i="45"/>
  <c r="T357" i="45"/>
  <c r="S357" i="45"/>
  <c r="Q357" i="45"/>
  <c r="O357" i="45"/>
  <c r="M357" i="45"/>
  <c r="K357" i="45"/>
  <c r="X356" i="45"/>
  <c r="W356" i="45"/>
  <c r="V356" i="45"/>
  <c r="U356" i="45"/>
  <c r="T356" i="45"/>
  <c r="S356" i="45"/>
  <c r="Q356" i="45"/>
  <c r="O356" i="45"/>
  <c r="M356" i="45"/>
  <c r="K356" i="45"/>
  <c r="X355" i="45"/>
  <c r="W355" i="45"/>
  <c r="V355" i="45"/>
  <c r="U355" i="45"/>
  <c r="T355" i="45"/>
  <c r="S355" i="45"/>
  <c r="Q355" i="45"/>
  <c r="O355" i="45"/>
  <c r="M355" i="45"/>
  <c r="K355" i="45"/>
  <c r="X354" i="45"/>
  <c r="W354" i="45"/>
  <c r="V354" i="45"/>
  <c r="U354" i="45"/>
  <c r="T354" i="45"/>
  <c r="S354" i="45"/>
  <c r="Q354" i="45"/>
  <c r="O354" i="45"/>
  <c r="M354" i="45"/>
  <c r="K354" i="45"/>
  <c r="X353" i="45"/>
  <c r="W353" i="45"/>
  <c r="V353" i="45"/>
  <c r="U353" i="45"/>
  <c r="T353" i="45"/>
  <c r="S353" i="45"/>
  <c r="Q353" i="45"/>
  <c r="O353" i="45"/>
  <c r="M353" i="45"/>
  <c r="K353" i="45"/>
  <c r="X352" i="45"/>
  <c r="W352" i="45"/>
  <c r="V352" i="45"/>
  <c r="U352" i="45"/>
  <c r="T352" i="45"/>
  <c r="S352" i="45"/>
  <c r="Q352" i="45"/>
  <c r="O352" i="45"/>
  <c r="M352" i="45"/>
  <c r="K352" i="45"/>
  <c r="X351" i="45"/>
  <c r="W351" i="45"/>
  <c r="V351" i="45"/>
  <c r="U351" i="45"/>
  <c r="T351" i="45"/>
  <c r="S351" i="45"/>
  <c r="Q351" i="45"/>
  <c r="O351" i="45"/>
  <c r="M351" i="45"/>
  <c r="K351" i="45"/>
  <c r="X350" i="45"/>
  <c r="W350" i="45"/>
  <c r="V350" i="45"/>
  <c r="U350" i="45"/>
  <c r="T350" i="45"/>
  <c r="S350" i="45"/>
  <c r="Q350" i="45"/>
  <c r="O350" i="45"/>
  <c r="M350" i="45"/>
  <c r="K350" i="45"/>
  <c r="X349" i="45"/>
  <c r="W349" i="45"/>
  <c r="V349" i="45"/>
  <c r="U349" i="45"/>
  <c r="T349" i="45"/>
  <c r="S349" i="45"/>
  <c r="Q349" i="45"/>
  <c r="O349" i="45"/>
  <c r="M349" i="45"/>
  <c r="K349" i="45"/>
  <c r="X348" i="45"/>
  <c r="W348" i="45"/>
  <c r="V348" i="45"/>
  <c r="U348" i="45"/>
  <c r="T348" i="45"/>
  <c r="S348" i="45"/>
  <c r="Q348" i="45"/>
  <c r="O348" i="45"/>
  <c r="M348" i="45"/>
  <c r="K348" i="45"/>
  <c r="X347" i="45"/>
  <c r="W347" i="45"/>
  <c r="V347" i="45"/>
  <c r="U347" i="45"/>
  <c r="T347" i="45"/>
  <c r="S347" i="45"/>
  <c r="Q347" i="45"/>
  <c r="O347" i="45"/>
  <c r="M347" i="45"/>
  <c r="K347" i="45"/>
  <c r="X346" i="45"/>
  <c r="W346" i="45"/>
  <c r="V346" i="45"/>
  <c r="U346" i="45"/>
  <c r="T346" i="45"/>
  <c r="S346" i="45"/>
  <c r="Q346" i="45"/>
  <c r="O346" i="45"/>
  <c r="M346" i="45"/>
  <c r="K346" i="45"/>
  <c r="X345" i="45"/>
  <c r="W345" i="45"/>
  <c r="V345" i="45"/>
  <c r="U345" i="45"/>
  <c r="T345" i="45"/>
  <c r="S345" i="45"/>
  <c r="Q345" i="45"/>
  <c r="O345" i="45"/>
  <c r="M345" i="45"/>
  <c r="K345" i="45"/>
  <c r="X344" i="45"/>
  <c r="W344" i="45"/>
  <c r="V344" i="45"/>
  <c r="U344" i="45"/>
  <c r="T344" i="45"/>
  <c r="S344" i="45"/>
  <c r="Q344" i="45"/>
  <c r="O344" i="45"/>
  <c r="M344" i="45"/>
  <c r="K344" i="45"/>
  <c r="X343" i="45"/>
  <c r="W343" i="45"/>
  <c r="V343" i="45"/>
  <c r="U343" i="45"/>
  <c r="T343" i="45"/>
  <c r="S343" i="45"/>
  <c r="Q343" i="45"/>
  <c r="O343" i="45"/>
  <c r="M343" i="45"/>
  <c r="K343" i="45"/>
  <c r="X342" i="45"/>
  <c r="W342" i="45"/>
  <c r="V342" i="45"/>
  <c r="U342" i="45"/>
  <c r="T342" i="45"/>
  <c r="S342" i="45"/>
  <c r="Q342" i="45"/>
  <c r="O342" i="45"/>
  <c r="M342" i="45"/>
  <c r="K342" i="45"/>
  <c r="X341" i="45"/>
  <c r="W341" i="45"/>
  <c r="V341" i="45"/>
  <c r="U341" i="45"/>
  <c r="T341" i="45"/>
  <c r="S341" i="45"/>
  <c r="Q341" i="45"/>
  <c r="O341" i="45"/>
  <c r="M341" i="45"/>
  <c r="K341" i="45"/>
  <c r="X340" i="45"/>
  <c r="W340" i="45"/>
  <c r="V340" i="45"/>
  <c r="U340" i="45"/>
  <c r="T340" i="45"/>
  <c r="S340" i="45"/>
  <c r="Q340" i="45"/>
  <c r="O340" i="45"/>
  <c r="M340" i="45"/>
  <c r="K340" i="45"/>
  <c r="X339" i="45"/>
  <c r="W339" i="45"/>
  <c r="V339" i="45"/>
  <c r="U339" i="45"/>
  <c r="T339" i="45"/>
  <c r="S339" i="45"/>
  <c r="Q339" i="45"/>
  <c r="O339" i="45"/>
  <c r="M339" i="45"/>
  <c r="K339" i="45"/>
  <c r="X338" i="45"/>
  <c r="W338" i="45"/>
  <c r="V338" i="45"/>
  <c r="U338" i="45"/>
  <c r="T338" i="45"/>
  <c r="S338" i="45"/>
  <c r="Q338" i="45"/>
  <c r="O338" i="45"/>
  <c r="M338" i="45"/>
  <c r="K338" i="45"/>
  <c r="X337" i="45"/>
  <c r="W337" i="45"/>
  <c r="V337" i="45"/>
  <c r="U337" i="45"/>
  <c r="T337" i="45"/>
  <c r="S337" i="45"/>
  <c r="Q337" i="45"/>
  <c r="O337" i="45"/>
  <c r="M337" i="45"/>
  <c r="K337" i="45"/>
  <c r="X336" i="45"/>
  <c r="W336" i="45"/>
  <c r="V336" i="45"/>
  <c r="U336" i="45"/>
  <c r="T336" i="45"/>
  <c r="S336" i="45"/>
  <c r="Q336" i="45"/>
  <c r="O336" i="45"/>
  <c r="M336" i="45"/>
  <c r="K336" i="45"/>
  <c r="X335" i="45"/>
  <c r="W335" i="45"/>
  <c r="V335" i="45"/>
  <c r="U335" i="45"/>
  <c r="T335" i="45"/>
  <c r="S335" i="45"/>
  <c r="Q335" i="45"/>
  <c r="O335" i="45"/>
  <c r="M335" i="45"/>
  <c r="K335" i="45"/>
  <c r="X334" i="45"/>
  <c r="W334" i="45"/>
  <c r="V334" i="45"/>
  <c r="U334" i="45"/>
  <c r="T334" i="45"/>
  <c r="S334" i="45"/>
  <c r="Q334" i="45"/>
  <c r="O334" i="45"/>
  <c r="M334" i="45"/>
  <c r="K334" i="45"/>
  <c r="X333" i="45"/>
  <c r="W333" i="45"/>
  <c r="V333" i="45"/>
  <c r="U333" i="45"/>
  <c r="T333" i="45"/>
  <c r="S333" i="45"/>
  <c r="Q333" i="45"/>
  <c r="O333" i="45"/>
  <c r="M333" i="45"/>
  <c r="K333" i="45"/>
  <c r="X332" i="45"/>
  <c r="W332" i="45"/>
  <c r="V332" i="45"/>
  <c r="U332" i="45"/>
  <c r="T332" i="45"/>
  <c r="S332" i="45"/>
  <c r="Q332" i="45"/>
  <c r="O332" i="45"/>
  <c r="M332" i="45"/>
  <c r="K332" i="45"/>
  <c r="X331" i="45"/>
  <c r="W331" i="45"/>
  <c r="V331" i="45"/>
  <c r="U331" i="45"/>
  <c r="T331" i="45"/>
  <c r="S331" i="45"/>
  <c r="Q331" i="45"/>
  <c r="O331" i="45"/>
  <c r="M331" i="45"/>
  <c r="K331" i="45"/>
  <c r="X330" i="45"/>
  <c r="W330" i="45"/>
  <c r="V330" i="45"/>
  <c r="U330" i="45"/>
  <c r="T330" i="45"/>
  <c r="S330" i="45"/>
  <c r="Q330" i="45"/>
  <c r="O330" i="45"/>
  <c r="M330" i="45"/>
  <c r="K330" i="45"/>
  <c r="X329" i="45"/>
  <c r="W329" i="45"/>
  <c r="V329" i="45"/>
  <c r="U329" i="45"/>
  <c r="T329" i="45"/>
  <c r="S329" i="45"/>
  <c r="Q329" i="45"/>
  <c r="O329" i="45"/>
  <c r="M329" i="45"/>
  <c r="K329" i="45"/>
  <c r="X328" i="45"/>
  <c r="W328" i="45"/>
  <c r="V328" i="45"/>
  <c r="U328" i="45"/>
  <c r="T328" i="45"/>
  <c r="S328" i="45"/>
  <c r="Q328" i="45"/>
  <c r="O328" i="45"/>
  <c r="M328" i="45"/>
  <c r="K328" i="45"/>
  <c r="X327" i="45"/>
  <c r="W327" i="45"/>
  <c r="V327" i="45"/>
  <c r="U327" i="45"/>
  <c r="T327" i="45"/>
  <c r="S327" i="45"/>
  <c r="Q327" i="45"/>
  <c r="O327" i="45"/>
  <c r="M327" i="45"/>
  <c r="K327" i="45"/>
  <c r="X326" i="45"/>
  <c r="W326" i="45"/>
  <c r="V326" i="45"/>
  <c r="U326" i="45"/>
  <c r="T326" i="45"/>
  <c r="S326" i="45"/>
  <c r="Q326" i="45"/>
  <c r="O326" i="45"/>
  <c r="M326" i="45"/>
  <c r="K326" i="45"/>
  <c r="X325" i="45"/>
  <c r="W325" i="45"/>
  <c r="V325" i="45"/>
  <c r="U325" i="45"/>
  <c r="T325" i="45"/>
  <c r="S325" i="45"/>
  <c r="Q325" i="45"/>
  <c r="O325" i="45"/>
  <c r="M325" i="45"/>
  <c r="K325" i="45"/>
  <c r="X324" i="45"/>
  <c r="W324" i="45"/>
  <c r="V324" i="45"/>
  <c r="U324" i="45"/>
  <c r="T324" i="45"/>
  <c r="S324" i="45"/>
  <c r="Q324" i="45"/>
  <c r="O324" i="45"/>
  <c r="M324" i="45"/>
  <c r="K324" i="45"/>
  <c r="X323" i="45"/>
  <c r="W323" i="45"/>
  <c r="V323" i="45"/>
  <c r="U323" i="45"/>
  <c r="T323" i="45"/>
  <c r="S323" i="45"/>
  <c r="Q323" i="45"/>
  <c r="O323" i="45"/>
  <c r="M323" i="45"/>
  <c r="K323" i="45"/>
  <c r="X322" i="45"/>
  <c r="W322" i="45"/>
  <c r="V322" i="45"/>
  <c r="U322" i="45"/>
  <c r="T322" i="45"/>
  <c r="S322" i="45"/>
  <c r="Q322" i="45"/>
  <c r="O322" i="45"/>
  <c r="M322" i="45"/>
  <c r="K322" i="45"/>
  <c r="X321" i="45"/>
  <c r="W321" i="45"/>
  <c r="V321" i="45"/>
  <c r="U321" i="45"/>
  <c r="T321" i="45"/>
  <c r="S321" i="45"/>
  <c r="Q321" i="45"/>
  <c r="O321" i="45"/>
  <c r="M321" i="45"/>
  <c r="K321" i="45"/>
  <c r="X320" i="45"/>
  <c r="W320" i="45"/>
  <c r="V320" i="45"/>
  <c r="U320" i="45"/>
  <c r="T320" i="45"/>
  <c r="S320" i="45"/>
  <c r="Q320" i="45"/>
  <c r="O320" i="45"/>
  <c r="M320" i="45"/>
  <c r="K320" i="45"/>
  <c r="X319" i="45"/>
  <c r="W319" i="45"/>
  <c r="V319" i="45"/>
  <c r="U319" i="45"/>
  <c r="T319" i="45"/>
  <c r="S319" i="45"/>
  <c r="Q319" i="45"/>
  <c r="O319" i="45"/>
  <c r="M319" i="45"/>
  <c r="K319" i="45"/>
  <c r="X318" i="45"/>
  <c r="W318" i="45"/>
  <c r="V318" i="45"/>
  <c r="U318" i="45"/>
  <c r="T318" i="45"/>
  <c r="S318" i="45"/>
  <c r="Q318" i="45"/>
  <c r="O318" i="45"/>
  <c r="M318" i="45"/>
  <c r="K318" i="45"/>
  <c r="X317" i="45"/>
  <c r="W317" i="45"/>
  <c r="V317" i="45"/>
  <c r="U317" i="45"/>
  <c r="T317" i="45"/>
  <c r="S317" i="45"/>
  <c r="Q317" i="45"/>
  <c r="O317" i="45"/>
  <c r="M317" i="45"/>
  <c r="K317" i="45"/>
  <c r="X316" i="45"/>
  <c r="W316" i="45"/>
  <c r="V316" i="45"/>
  <c r="U316" i="45"/>
  <c r="T316" i="45"/>
  <c r="S316" i="45"/>
  <c r="Q316" i="45"/>
  <c r="O316" i="45"/>
  <c r="M316" i="45"/>
  <c r="K316" i="45"/>
  <c r="X315" i="45"/>
  <c r="W315" i="45"/>
  <c r="V315" i="45"/>
  <c r="U315" i="45"/>
  <c r="T315" i="45"/>
  <c r="S315" i="45"/>
  <c r="Q315" i="45"/>
  <c r="O315" i="45"/>
  <c r="M315" i="45"/>
  <c r="K315" i="45"/>
  <c r="X314" i="45"/>
  <c r="W314" i="45"/>
  <c r="V314" i="45"/>
  <c r="U314" i="45"/>
  <c r="T314" i="45"/>
  <c r="S314" i="45"/>
  <c r="Q314" i="45"/>
  <c r="O314" i="45"/>
  <c r="M314" i="45"/>
  <c r="K314" i="45"/>
  <c r="X313" i="45"/>
  <c r="W313" i="45"/>
  <c r="V313" i="45"/>
  <c r="U313" i="45"/>
  <c r="T313" i="45"/>
  <c r="S313" i="45"/>
  <c r="Q313" i="45"/>
  <c r="O313" i="45"/>
  <c r="M313" i="45"/>
  <c r="K313" i="45"/>
  <c r="X312" i="45"/>
  <c r="W312" i="45"/>
  <c r="V312" i="45"/>
  <c r="U312" i="45"/>
  <c r="T312" i="45"/>
  <c r="S312" i="45"/>
  <c r="Q312" i="45"/>
  <c r="O312" i="45"/>
  <c r="M312" i="45"/>
  <c r="K312" i="45"/>
  <c r="X311" i="45"/>
  <c r="W311" i="45"/>
  <c r="V311" i="45"/>
  <c r="U311" i="45"/>
  <c r="T311" i="45"/>
  <c r="S311" i="45"/>
  <c r="Q311" i="45"/>
  <c r="O311" i="45"/>
  <c r="M311" i="45"/>
  <c r="K311" i="45"/>
  <c r="X310" i="45"/>
  <c r="W310" i="45"/>
  <c r="V310" i="45"/>
  <c r="U310" i="45"/>
  <c r="T310" i="45"/>
  <c r="S310" i="45"/>
  <c r="Q310" i="45"/>
  <c r="O310" i="45"/>
  <c r="M310" i="45"/>
  <c r="K310" i="45"/>
  <c r="X309" i="45"/>
  <c r="W309" i="45"/>
  <c r="V309" i="45"/>
  <c r="U309" i="45"/>
  <c r="T309" i="45"/>
  <c r="S309" i="45"/>
  <c r="Q309" i="45"/>
  <c r="O309" i="45"/>
  <c r="M309" i="45"/>
  <c r="K309" i="45"/>
  <c r="X308" i="45"/>
  <c r="W308" i="45"/>
  <c r="V308" i="45"/>
  <c r="U308" i="45"/>
  <c r="T308" i="45"/>
  <c r="S308" i="45"/>
  <c r="Q308" i="45"/>
  <c r="O308" i="45"/>
  <c r="M308" i="45"/>
  <c r="K308" i="45"/>
  <c r="X307" i="45"/>
  <c r="W307" i="45"/>
  <c r="V307" i="45"/>
  <c r="U307" i="45"/>
  <c r="T307" i="45"/>
  <c r="S307" i="45"/>
  <c r="Q307" i="45"/>
  <c r="O307" i="45"/>
  <c r="M307" i="45"/>
  <c r="K307" i="45"/>
  <c r="X306" i="45"/>
  <c r="W306" i="45"/>
  <c r="V306" i="45"/>
  <c r="U306" i="45"/>
  <c r="T306" i="45"/>
  <c r="S306" i="45"/>
  <c r="Q306" i="45"/>
  <c r="O306" i="45"/>
  <c r="M306" i="45"/>
  <c r="K306" i="45"/>
  <c r="X305" i="45"/>
  <c r="W305" i="45"/>
  <c r="V305" i="45"/>
  <c r="U305" i="45"/>
  <c r="T305" i="45"/>
  <c r="S305" i="45"/>
  <c r="Q305" i="45"/>
  <c r="O305" i="45"/>
  <c r="M305" i="45"/>
  <c r="K305" i="45"/>
  <c r="X304" i="45"/>
  <c r="W304" i="45"/>
  <c r="V304" i="45"/>
  <c r="U304" i="45"/>
  <c r="T304" i="45"/>
  <c r="S304" i="45"/>
  <c r="Q304" i="45"/>
  <c r="O304" i="45"/>
  <c r="M304" i="45"/>
  <c r="K304" i="45"/>
  <c r="X303" i="45"/>
  <c r="W303" i="45"/>
  <c r="V303" i="45"/>
  <c r="U303" i="45"/>
  <c r="T303" i="45"/>
  <c r="S303" i="45"/>
  <c r="Q303" i="45"/>
  <c r="O303" i="45"/>
  <c r="M303" i="45"/>
  <c r="K303" i="45"/>
  <c r="X302" i="45"/>
  <c r="W302" i="45"/>
  <c r="V302" i="45"/>
  <c r="U302" i="45"/>
  <c r="T302" i="45"/>
  <c r="S302" i="45"/>
  <c r="Q302" i="45"/>
  <c r="O302" i="45"/>
  <c r="M302" i="45"/>
  <c r="K302" i="45"/>
  <c r="X301" i="45"/>
  <c r="W301" i="45"/>
  <c r="V301" i="45"/>
  <c r="U301" i="45"/>
  <c r="T301" i="45"/>
  <c r="S301" i="45"/>
  <c r="Q301" i="45"/>
  <c r="O301" i="45"/>
  <c r="M301" i="45"/>
  <c r="K301" i="45"/>
  <c r="X300" i="45"/>
  <c r="W300" i="45"/>
  <c r="V300" i="45"/>
  <c r="U300" i="45"/>
  <c r="T300" i="45"/>
  <c r="S300" i="45"/>
  <c r="Q300" i="45"/>
  <c r="O300" i="45"/>
  <c r="M300" i="45"/>
  <c r="K300" i="45"/>
  <c r="X299" i="45"/>
  <c r="W299" i="45"/>
  <c r="V299" i="45"/>
  <c r="U299" i="45"/>
  <c r="T299" i="45"/>
  <c r="S299" i="45"/>
  <c r="Q299" i="45"/>
  <c r="O299" i="45"/>
  <c r="M299" i="45"/>
  <c r="K299" i="45"/>
  <c r="X298" i="45"/>
  <c r="W298" i="45"/>
  <c r="V298" i="45"/>
  <c r="U298" i="45"/>
  <c r="T298" i="45"/>
  <c r="S298" i="45"/>
  <c r="Q298" i="45"/>
  <c r="O298" i="45"/>
  <c r="M298" i="45"/>
  <c r="K298" i="45"/>
  <c r="X297" i="45"/>
  <c r="W297" i="45"/>
  <c r="V297" i="45"/>
  <c r="U297" i="45"/>
  <c r="T297" i="45"/>
  <c r="S297" i="45"/>
  <c r="Q297" i="45"/>
  <c r="O297" i="45"/>
  <c r="M297" i="45"/>
  <c r="K297" i="45"/>
  <c r="X296" i="45"/>
  <c r="W296" i="45"/>
  <c r="V296" i="45"/>
  <c r="U296" i="45"/>
  <c r="T296" i="45"/>
  <c r="S296" i="45"/>
  <c r="Q296" i="45"/>
  <c r="O296" i="45"/>
  <c r="M296" i="45"/>
  <c r="K296" i="45"/>
  <c r="X295" i="45"/>
  <c r="W295" i="45"/>
  <c r="V295" i="45"/>
  <c r="U295" i="45"/>
  <c r="T295" i="45"/>
  <c r="S295" i="45"/>
  <c r="Q295" i="45"/>
  <c r="O295" i="45"/>
  <c r="M295" i="45"/>
  <c r="K295" i="45"/>
  <c r="X294" i="45"/>
  <c r="W294" i="45"/>
  <c r="V294" i="45"/>
  <c r="U294" i="45"/>
  <c r="T294" i="45"/>
  <c r="S294" i="45"/>
  <c r="Q294" i="45"/>
  <c r="O294" i="45"/>
  <c r="M294" i="45"/>
  <c r="K294" i="45"/>
  <c r="X293" i="45"/>
  <c r="W293" i="45"/>
  <c r="V293" i="45"/>
  <c r="U293" i="45"/>
  <c r="T293" i="45"/>
  <c r="S293" i="45"/>
  <c r="Q293" i="45"/>
  <c r="O293" i="45"/>
  <c r="M293" i="45"/>
  <c r="K293" i="45"/>
  <c r="X292" i="45"/>
  <c r="W292" i="45"/>
  <c r="V292" i="45"/>
  <c r="U292" i="45"/>
  <c r="T292" i="45"/>
  <c r="S292" i="45"/>
  <c r="Q292" i="45"/>
  <c r="O292" i="45"/>
  <c r="M292" i="45"/>
  <c r="K292" i="45"/>
  <c r="X291" i="45"/>
  <c r="W291" i="45"/>
  <c r="V291" i="45"/>
  <c r="U291" i="45"/>
  <c r="T291" i="45"/>
  <c r="S291" i="45"/>
  <c r="Q291" i="45"/>
  <c r="O291" i="45"/>
  <c r="M291" i="45"/>
  <c r="K291" i="45"/>
  <c r="X290" i="45"/>
  <c r="W290" i="45"/>
  <c r="V290" i="45"/>
  <c r="U290" i="45"/>
  <c r="T290" i="45"/>
  <c r="S290" i="45"/>
  <c r="Q290" i="45"/>
  <c r="O290" i="45"/>
  <c r="M290" i="45"/>
  <c r="K290" i="45"/>
  <c r="X289" i="45"/>
  <c r="W289" i="45"/>
  <c r="V289" i="45"/>
  <c r="U289" i="45"/>
  <c r="T289" i="45"/>
  <c r="S289" i="45"/>
  <c r="Q289" i="45"/>
  <c r="O289" i="45"/>
  <c r="M289" i="45"/>
  <c r="K289" i="45"/>
  <c r="X288" i="45"/>
  <c r="W288" i="45"/>
  <c r="V288" i="45"/>
  <c r="U288" i="45"/>
  <c r="T288" i="45"/>
  <c r="S288" i="45"/>
  <c r="Q288" i="45"/>
  <c r="O288" i="45"/>
  <c r="M288" i="45"/>
  <c r="K288" i="45"/>
  <c r="X287" i="45"/>
  <c r="W287" i="45"/>
  <c r="V287" i="45"/>
  <c r="U287" i="45"/>
  <c r="T287" i="45"/>
  <c r="S287" i="45"/>
  <c r="Q287" i="45"/>
  <c r="O287" i="45"/>
  <c r="M287" i="45"/>
  <c r="K287" i="45"/>
  <c r="X286" i="45"/>
  <c r="W286" i="45"/>
  <c r="V286" i="45"/>
  <c r="U286" i="45"/>
  <c r="T286" i="45"/>
  <c r="S286" i="45"/>
  <c r="Q286" i="45"/>
  <c r="O286" i="45"/>
  <c r="M286" i="45"/>
  <c r="K286" i="45"/>
  <c r="X285" i="45"/>
  <c r="W285" i="45"/>
  <c r="V285" i="45"/>
  <c r="U285" i="45"/>
  <c r="T285" i="45"/>
  <c r="S285" i="45"/>
  <c r="Q285" i="45"/>
  <c r="O285" i="45"/>
  <c r="M285" i="45"/>
  <c r="K285" i="45"/>
  <c r="X284" i="45"/>
  <c r="W284" i="45"/>
  <c r="V284" i="45"/>
  <c r="U284" i="45"/>
  <c r="T284" i="45"/>
  <c r="S284" i="45"/>
  <c r="Q284" i="45"/>
  <c r="O284" i="45"/>
  <c r="M284" i="45"/>
  <c r="K284" i="45"/>
  <c r="X283" i="45"/>
  <c r="W283" i="45"/>
  <c r="V283" i="45"/>
  <c r="U283" i="45"/>
  <c r="T283" i="45"/>
  <c r="S283" i="45"/>
  <c r="Q283" i="45"/>
  <c r="O283" i="45"/>
  <c r="M283" i="45"/>
  <c r="K283" i="45"/>
  <c r="X282" i="45"/>
  <c r="W282" i="45"/>
  <c r="V282" i="45"/>
  <c r="U282" i="45"/>
  <c r="T282" i="45"/>
  <c r="S282" i="45"/>
  <c r="Q282" i="45"/>
  <c r="O282" i="45"/>
  <c r="M282" i="45"/>
  <c r="K282" i="45"/>
  <c r="X281" i="45"/>
  <c r="W281" i="45"/>
  <c r="V281" i="45"/>
  <c r="U281" i="45"/>
  <c r="T281" i="45"/>
  <c r="S281" i="45"/>
  <c r="Q281" i="45"/>
  <c r="O281" i="45"/>
  <c r="M281" i="45"/>
  <c r="K281" i="45"/>
  <c r="X280" i="45"/>
  <c r="W280" i="45"/>
  <c r="V280" i="45"/>
  <c r="U280" i="45"/>
  <c r="T280" i="45"/>
  <c r="S280" i="45"/>
  <c r="Q280" i="45"/>
  <c r="O280" i="45"/>
  <c r="M280" i="45"/>
  <c r="K280" i="45"/>
  <c r="X279" i="45"/>
  <c r="W279" i="45"/>
  <c r="V279" i="45"/>
  <c r="U279" i="45"/>
  <c r="T279" i="45"/>
  <c r="S279" i="45"/>
  <c r="Q279" i="45"/>
  <c r="O279" i="45"/>
  <c r="M279" i="45"/>
  <c r="K279" i="45"/>
  <c r="X278" i="45"/>
  <c r="W278" i="45"/>
  <c r="V278" i="45"/>
  <c r="U278" i="45"/>
  <c r="T278" i="45"/>
  <c r="S278" i="45"/>
  <c r="Q278" i="45"/>
  <c r="O278" i="45"/>
  <c r="M278" i="45"/>
  <c r="K278" i="45"/>
  <c r="X277" i="45"/>
  <c r="W277" i="45"/>
  <c r="V277" i="45"/>
  <c r="U277" i="45"/>
  <c r="T277" i="45"/>
  <c r="S277" i="45"/>
  <c r="Q277" i="45"/>
  <c r="O277" i="45"/>
  <c r="M277" i="45"/>
  <c r="K277" i="45"/>
  <c r="X276" i="45"/>
  <c r="W276" i="45"/>
  <c r="V276" i="45"/>
  <c r="U276" i="45"/>
  <c r="T276" i="45"/>
  <c r="S276" i="45"/>
  <c r="Q276" i="45"/>
  <c r="O276" i="45"/>
  <c r="M276" i="45"/>
  <c r="K276" i="45"/>
  <c r="X275" i="45"/>
  <c r="W275" i="45"/>
  <c r="V275" i="45"/>
  <c r="U275" i="45"/>
  <c r="T275" i="45"/>
  <c r="S275" i="45"/>
  <c r="Q275" i="45"/>
  <c r="O275" i="45"/>
  <c r="M275" i="45"/>
  <c r="K275" i="45"/>
  <c r="X274" i="45"/>
  <c r="W274" i="45"/>
  <c r="V274" i="45"/>
  <c r="U274" i="45"/>
  <c r="T274" i="45"/>
  <c r="S274" i="45"/>
  <c r="Q274" i="45"/>
  <c r="O274" i="45"/>
  <c r="M274" i="45"/>
  <c r="K274" i="45"/>
  <c r="X273" i="45"/>
  <c r="W273" i="45"/>
  <c r="V273" i="45"/>
  <c r="U273" i="45"/>
  <c r="T273" i="45"/>
  <c r="S273" i="45"/>
  <c r="Q273" i="45"/>
  <c r="O273" i="45"/>
  <c r="M273" i="45"/>
  <c r="K273" i="45"/>
  <c r="X272" i="45"/>
  <c r="W272" i="45"/>
  <c r="V272" i="45"/>
  <c r="U272" i="45"/>
  <c r="T272" i="45"/>
  <c r="S272" i="45"/>
  <c r="Q272" i="45"/>
  <c r="O272" i="45"/>
  <c r="M272" i="45"/>
  <c r="K272" i="45"/>
  <c r="X271" i="45"/>
  <c r="W271" i="45"/>
  <c r="V271" i="45"/>
  <c r="U271" i="45"/>
  <c r="T271" i="45"/>
  <c r="S271" i="45"/>
  <c r="Q271" i="45"/>
  <c r="O271" i="45"/>
  <c r="M271" i="45"/>
  <c r="K271" i="45"/>
  <c r="X270" i="45"/>
  <c r="W270" i="45"/>
  <c r="V270" i="45"/>
  <c r="U270" i="45"/>
  <c r="T270" i="45"/>
  <c r="S270" i="45"/>
  <c r="Q270" i="45"/>
  <c r="O270" i="45"/>
  <c r="M270" i="45"/>
  <c r="K270" i="45"/>
  <c r="X269" i="45"/>
  <c r="W269" i="45"/>
  <c r="V269" i="45"/>
  <c r="U269" i="45"/>
  <c r="T269" i="45"/>
  <c r="S269" i="45"/>
  <c r="Q269" i="45"/>
  <c r="O269" i="45"/>
  <c r="M269" i="45"/>
  <c r="K269" i="45"/>
  <c r="X268" i="45"/>
  <c r="W268" i="45"/>
  <c r="V268" i="45"/>
  <c r="U268" i="45"/>
  <c r="T268" i="45"/>
  <c r="S268" i="45"/>
  <c r="Q268" i="45"/>
  <c r="O268" i="45"/>
  <c r="M268" i="45"/>
  <c r="K268" i="45"/>
  <c r="X267" i="45"/>
  <c r="W267" i="45"/>
  <c r="V267" i="45"/>
  <c r="U267" i="45"/>
  <c r="T267" i="45"/>
  <c r="S267" i="45"/>
  <c r="Q267" i="45"/>
  <c r="O267" i="45"/>
  <c r="M267" i="45"/>
  <c r="K267" i="45"/>
  <c r="X266" i="45"/>
  <c r="W266" i="45"/>
  <c r="V266" i="45"/>
  <c r="U266" i="45"/>
  <c r="T266" i="45"/>
  <c r="S266" i="45"/>
  <c r="Q266" i="45"/>
  <c r="O266" i="45"/>
  <c r="M266" i="45"/>
  <c r="K266" i="45"/>
  <c r="X265" i="45"/>
  <c r="W265" i="45"/>
  <c r="V265" i="45"/>
  <c r="U265" i="45"/>
  <c r="T265" i="45"/>
  <c r="S265" i="45"/>
  <c r="Q265" i="45"/>
  <c r="O265" i="45"/>
  <c r="M265" i="45"/>
  <c r="K265" i="45"/>
  <c r="X264" i="45"/>
  <c r="W264" i="45"/>
  <c r="V264" i="45"/>
  <c r="U264" i="45"/>
  <c r="T264" i="45"/>
  <c r="S264" i="45"/>
  <c r="Q264" i="45"/>
  <c r="O264" i="45"/>
  <c r="M264" i="45"/>
  <c r="K264" i="45"/>
  <c r="X263" i="45"/>
  <c r="W263" i="45"/>
  <c r="V263" i="45"/>
  <c r="U263" i="45"/>
  <c r="T263" i="45"/>
  <c r="S263" i="45"/>
  <c r="Q263" i="45"/>
  <c r="O263" i="45"/>
  <c r="M263" i="45"/>
  <c r="K263" i="45"/>
  <c r="X262" i="45"/>
  <c r="W262" i="45"/>
  <c r="V262" i="45"/>
  <c r="U262" i="45"/>
  <c r="T262" i="45"/>
  <c r="S262" i="45"/>
  <c r="Q262" i="45"/>
  <c r="O262" i="45"/>
  <c r="M262" i="45"/>
  <c r="K262" i="45"/>
  <c r="X261" i="45"/>
  <c r="W261" i="45"/>
  <c r="V261" i="45"/>
  <c r="U261" i="45"/>
  <c r="T261" i="45"/>
  <c r="S261" i="45"/>
  <c r="Q261" i="45"/>
  <c r="O261" i="45"/>
  <c r="M261" i="45"/>
  <c r="K261" i="45"/>
  <c r="X260" i="45"/>
  <c r="W260" i="45"/>
  <c r="V260" i="45"/>
  <c r="U260" i="45"/>
  <c r="T260" i="45"/>
  <c r="S260" i="45"/>
  <c r="Q260" i="45"/>
  <c r="O260" i="45"/>
  <c r="M260" i="45"/>
  <c r="K260" i="45"/>
  <c r="X259" i="45"/>
  <c r="W259" i="45"/>
  <c r="V259" i="45"/>
  <c r="U259" i="45"/>
  <c r="T259" i="45"/>
  <c r="S259" i="45"/>
  <c r="Q259" i="45"/>
  <c r="O259" i="45"/>
  <c r="M259" i="45"/>
  <c r="K259" i="45"/>
  <c r="X258" i="45"/>
  <c r="W258" i="45"/>
  <c r="V258" i="45"/>
  <c r="U258" i="45"/>
  <c r="T258" i="45"/>
  <c r="S258" i="45"/>
  <c r="Q258" i="45"/>
  <c r="O258" i="45"/>
  <c r="M258" i="45"/>
  <c r="K258" i="45"/>
  <c r="X257" i="45"/>
  <c r="W257" i="45"/>
  <c r="V257" i="45"/>
  <c r="U257" i="45"/>
  <c r="T257" i="45"/>
  <c r="S257" i="45"/>
  <c r="Q257" i="45"/>
  <c r="O257" i="45"/>
  <c r="M257" i="45"/>
  <c r="K257" i="45"/>
  <c r="X256" i="45"/>
  <c r="W256" i="45"/>
  <c r="V256" i="45"/>
  <c r="U256" i="45"/>
  <c r="T256" i="45"/>
  <c r="S256" i="45"/>
  <c r="Q256" i="45"/>
  <c r="O256" i="45"/>
  <c r="M256" i="45"/>
  <c r="K256" i="45"/>
  <c r="X255" i="45"/>
  <c r="W255" i="45"/>
  <c r="V255" i="45"/>
  <c r="U255" i="45"/>
  <c r="T255" i="45"/>
  <c r="S255" i="45"/>
  <c r="Q255" i="45"/>
  <c r="O255" i="45"/>
  <c r="M255" i="45"/>
  <c r="K255" i="45"/>
  <c r="X254" i="45"/>
  <c r="W254" i="45"/>
  <c r="V254" i="45"/>
  <c r="U254" i="45"/>
  <c r="T254" i="45"/>
  <c r="S254" i="45"/>
  <c r="Q254" i="45"/>
  <c r="O254" i="45"/>
  <c r="M254" i="45"/>
  <c r="K254" i="45"/>
  <c r="X253" i="45"/>
  <c r="W253" i="45"/>
  <c r="V253" i="45"/>
  <c r="U253" i="45"/>
  <c r="T253" i="45"/>
  <c r="S253" i="45"/>
  <c r="Q253" i="45"/>
  <c r="O253" i="45"/>
  <c r="M253" i="45"/>
  <c r="K253" i="45"/>
  <c r="X252" i="45"/>
  <c r="W252" i="45"/>
  <c r="V252" i="45"/>
  <c r="U252" i="45"/>
  <c r="T252" i="45"/>
  <c r="S252" i="45"/>
  <c r="Q252" i="45"/>
  <c r="O252" i="45"/>
  <c r="M252" i="45"/>
  <c r="K252" i="45"/>
  <c r="X251" i="45"/>
  <c r="W251" i="45"/>
  <c r="V251" i="45"/>
  <c r="U251" i="45"/>
  <c r="T251" i="45"/>
  <c r="S251" i="45"/>
  <c r="Q251" i="45"/>
  <c r="O251" i="45"/>
  <c r="M251" i="45"/>
  <c r="K251" i="45"/>
  <c r="X250" i="45"/>
  <c r="W250" i="45"/>
  <c r="V250" i="45"/>
  <c r="U250" i="45"/>
  <c r="T250" i="45"/>
  <c r="S250" i="45"/>
  <c r="Q250" i="45"/>
  <c r="O250" i="45"/>
  <c r="M250" i="45"/>
  <c r="K250" i="45"/>
  <c r="X249" i="45"/>
  <c r="W249" i="45"/>
  <c r="V249" i="45"/>
  <c r="U249" i="45"/>
  <c r="T249" i="45"/>
  <c r="S249" i="45"/>
  <c r="Q249" i="45"/>
  <c r="O249" i="45"/>
  <c r="M249" i="45"/>
  <c r="K249" i="45"/>
  <c r="X248" i="45"/>
  <c r="W248" i="45"/>
  <c r="V248" i="45"/>
  <c r="U248" i="45"/>
  <c r="T248" i="45"/>
  <c r="S248" i="45"/>
  <c r="Q248" i="45"/>
  <c r="O248" i="45"/>
  <c r="M248" i="45"/>
  <c r="K248" i="45"/>
  <c r="X247" i="45"/>
  <c r="W247" i="45"/>
  <c r="V247" i="45"/>
  <c r="U247" i="45"/>
  <c r="T247" i="45"/>
  <c r="S247" i="45"/>
  <c r="Q247" i="45"/>
  <c r="O247" i="45"/>
  <c r="M247" i="45"/>
  <c r="K247" i="45"/>
  <c r="X246" i="45"/>
  <c r="W246" i="45"/>
  <c r="V246" i="45"/>
  <c r="U246" i="45"/>
  <c r="T246" i="45"/>
  <c r="S246" i="45"/>
  <c r="Q246" i="45"/>
  <c r="O246" i="45"/>
  <c r="M246" i="45"/>
  <c r="K246" i="45"/>
  <c r="X245" i="45"/>
  <c r="W245" i="45"/>
  <c r="V245" i="45"/>
  <c r="U245" i="45"/>
  <c r="T245" i="45"/>
  <c r="S245" i="45"/>
  <c r="Q245" i="45"/>
  <c r="O245" i="45"/>
  <c r="M245" i="45"/>
  <c r="K245" i="45"/>
  <c r="X244" i="45"/>
  <c r="W244" i="45"/>
  <c r="V244" i="45"/>
  <c r="U244" i="45"/>
  <c r="T244" i="45"/>
  <c r="S244" i="45"/>
  <c r="Q244" i="45"/>
  <c r="O244" i="45"/>
  <c r="M244" i="45"/>
  <c r="K244" i="45"/>
  <c r="X243" i="45"/>
  <c r="W243" i="45"/>
  <c r="V243" i="45"/>
  <c r="U243" i="45"/>
  <c r="T243" i="45"/>
  <c r="S243" i="45"/>
  <c r="Q243" i="45"/>
  <c r="O243" i="45"/>
  <c r="M243" i="45"/>
  <c r="K243" i="45"/>
  <c r="X242" i="45"/>
  <c r="W242" i="45"/>
  <c r="V242" i="45"/>
  <c r="U242" i="45"/>
  <c r="T242" i="45"/>
  <c r="S242" i="45"/>
  <c r="Q242" i="45"/>
  <c r="O242" i="45"/>
  <c r="M242" i="45"/>
  <c r="K242" i="45"/>
  <c r="X241" i="45"/>
  <c r="W241" i="45"/>
  <c r="V241" i="45"/>
  <c r="U241" i="45"/>
  <c r="T241" i="45"/>
  <c r="S241" i="45"/>
  <c r="Q241" i="45"/>
  <c r="O241" i="45"/>
  <c r="M241" i="45"/>
  <c r="K241" i="45"/>
  <c r="X240" i="45"/>
  <c r="W240" i="45"/>
  <c r="V240" i="45"/>
  <c r="U240" i="45"/>
  <c r="T240" i="45"/>
  <c r="S240" i="45"/>
  <c r="Q240" i="45"/>
  <c r="O240" i="45"/>
  <c r="M240" i="45"/>
  <c r="K240" i="45"/>
  <c r="X239" i="45"/>
  <c r="W239" i="45"/>
  <c r="V239" i="45"/>
  <c r="U239" i="45"/>
  <c r="T239" i="45"/>
  <c r="S239" i="45"/>
  <c r="Q239" i="45"/>
  <c r="O239" i="45"/>
  <c r="M239" i="45"/>
  <c r="K239" i="45"/>
  <c r="X238" i="45"/>
  <c r="W238" i="45"/>
  <c r="V238" i="45"/>
  <c r="U238" i="45"/>
  <c r="T238" i="45"/>
  <c r="S238" i="45"/>
  <c r="Q238" i="45"/>
  <c r="O238" i="45"/>
  <c r="M238" i="45"/>
  <c r="K238" i="45"/>
  <c r="X237" i="45"/>
  <c r="W237" i="45"/>
  <c r="V237" i="45"/>
  <c r="U237" i="45"/>
  <c r="T237" i="45"/>
  <c r="S237" i="45"/>
  <c r="Q237" i="45"/>
  <c r="O237" i="45"/>
  <c r="M237" i="45"/>
  <c r="K237" i="45"/>
  <c r="X236" i="45"/>
  <c r="W236" i="45"/>
  <c r="V236" i="45"/>
  <c r="U236" i="45"/>
  <c r="T236" i="45"/>
  <c r="S236" i="45"/>
  <c r="Q236" i="45"/>
  <c r="O236" i="45"/>
  <c r="M236" i="45"/>
  <c r="K236" i="45"/>
  <c r="X235" i="45"/>
  <c r="W235" i="45"/>
  <c r="V235" i="45"/>
  <c r="U235" i="45"/>
  <c r="T235" i="45"/>
  <c r="S235" i="45"/>
  <c r="Q235" i="45"/>
  <c r="O235" i="45"/>
  <c r="M235" i="45"/>
  <c r="K235" i="45"/>
  <c r="X234" i="45"/>
  <c r="W234" i="45"/>
  <c r="V234" i="45"/>
  <c r="U234" i="45"/>
  <c r="T234" i="45"/>
  <c r="S234" i="45"/>
  <c r="Q234" i="45"/>
  <c r="O234" i="45"/>
  <c r="M234" i="45"/>
  <c r="K234" i="45"/>
  <c r="X233" i="45"/>
  <c r="W233" i="45"/>
  <c r="V233" i="45"/>
  <c r="U233" i="45"/>
  <c r="T233" i="45"/>
  <c r="S233" i="45"/>
  <c r="Q233" i="45"/>
  <c r="O233" i="45"/>
  <c r="M233" i="45"/>
  <c r="K233" i="45"/>
  <c r="X232" i="45"/>
  <c r="W232" i="45"/>
  <c r="V232" i="45"/>
  <c r="U232" i="45"/>
  <c r="T232" i="45"/>
  <c r="S232" i="45"/>
  <c r="Q232" i="45"/>
  <c r="O232" i="45"/>
  <c r="M232" i="45"/>
  <c r="K232" i="45"/>
  <c r="X231" i="45"/>
  <c r="W231" i="45"/>
  <c r="V231" i="45"/>
  <c r="U231" i="45"/>
  <c r="T231" i="45"/>
  <c r="S231" i="45"/>
  <c r="Q231" i="45"/>
  <c r="O231" i="45"/>
  <c r="M231" i="45"/>
  <c r="K231" i="45"/>
  <c r="X230" i="45"/>
  <c r="W230" i="45"/>
  <c r="V230" i="45"/>
  <c r="U230" i="45"/>
  <c r="T230" i="45"/>
  <c r="S230" i="45"/>
  <c r="Q230" i="45"/>
  <c r="O230" i="45"/>
  <c r="M230" i="45"/>
  <c r="K230" i="45"/>
  <c r="X229" i="45"/>
  <c r="W229" i="45"/>
  <c r="V229" i="45"/>
  <c r="U229" i="45"/>
  <c r="T229" i="45"/>
  <c r="S229" i="45"/>
  <c r="Q229" i="45"/>
  <c r="O229" i="45"/>
  <c r="M229" i="45"/>
  <c r="K229" i="45"/>
  <c r="X228" i="45"/>
  <c r="W228" i="45"/>
  <c r="V228" i="45"/>
  <c r="U228" i="45"/>
  <c r="T228" i="45"/>
  <c r="S228" i="45"/>
  <c r="Q228" i="45"/>
  <c r="O228" i="45"/>
  <c r="M228" i="45"/>
  <c r="K228" i="45"/>
  <c r="X227" i="45"/>
  <c r="W227" i="45"/>
  <c r="V227" i="45"/>
  <c r="U227" i="45"/>
  <c r="T227" i="45"/>
  <c r="S227" i="45"/>
  <c r="Q227" i="45"/>
  <c r="O227" i="45"/>
  <c r="M227" i="45"/>
  <c r="K227" i="45"/>
  <c r="X226" i="45"/>
  <c r="W226" i="45"/>
  <c r="V226" i="45"/>
  <c r="U226" i="45"/>
  <c r="T226" i="45"/>
  <c r="S226" i="45"/>
  <c r="Q226" i="45"/>
  <c r="O226" i="45"/>
  <c r="M226" i="45"/>
  <c r="K226" i="45"/>
  <c r="X225" i="45"/>
  <c r="W225" i="45"/>
  <c r="V225" i="45"/>
  <c r="U225" i="45"/>
  <c r="T225" i="45"/>
  <c r="S225" i="45"/>
  <c r="Q225" i="45"/>
  <c r="O225" i="45"/>
  <c r="M225" i="45"/>
  <c r="K225" i="45"/>
  <c r="X224" i="45"/>
  <c r="W224" i="45"/>
  <c r="V224" i="45"/>
  <c r="U224" i="45"/>
  <c r="T224" i="45"/>
  <c r="S224" i="45"/>
  <c r="Q224" i="45"/>
  <c r="O224" i="45"/>
  <c r="M224" i="45"/>
  <c r="K224" i="45"/>
  <c r="X223" i="45"/>
  <c r="W223" i="45"/>
  <c r="V223" i="45"/>
  <c r="U223" i="45"/>
  <c r="T223" i="45"/>
  <c r="S223" i="45"/>
  <c r="Q223" i="45"/>
  <c r="O223" i="45"/>
  <c r="M223" i="45"/>
  <c r="K223" i="45"/>
  <c r="X222" i="45"/>
  <c r="W222" i="45"/>
  <c r="V222" i="45"/>
  <c r="U222" i="45"/>
  <c r="T222" i="45"/>
  <c r="S222" i="45"/>
  <c r="Q222" i="45"/>
  <c r="O222" i="45"/>
  <c r="M222" i="45"/>
  <c r="K222" i="45"/>
  <c r="X221" i="45"/>
  <c r="W221" i="45"/>
  <c r="V221" i="45"/>
  <c r="U221" i="45"/>
  <c r="T221" i="45"/>
  <c r="S221" i="45"/>
  <c r="Q221" i="45"/>
  <c r="O221" i="45"/>
  <c r="M221" i="45"/>
  <c r="K221" i="45"/>
  <c r="X220" i="45"/>
  <c r="W220" i="45"/>
  <c r="V220" i="45"/>
  <c r="U220" i="45"/>
  <c r="T220" i="45"/>
  <c r="S220" i="45"/>
  <c r="Q220" i="45"/>
  <c r="O220" i="45"/>
  <c r="M220" i="45"/>
  <c r="K220" i="45"/>
  <c r="X219" i="45"/>
  <c r="W219" i="45"/>
  <c r="V219" i="45"/>
  <c r="U219" i="45"/>
  <c r="T219" i="45"/>
  <c r="S219" i="45"/>
  <c r="Q219" i="45"/>
  <c r="O219" i="45"/>
  <c r="M219" i="45"/>
  <c r="K219" i="45"/>
  <c r="X218" i="45"/>
  <c r="W218" i="45"/>
  <c r="V218" i="45"/>
  <c r="U218" i="45"/>
  <c r="T218" i="45"/>
  <c r="S218" i="45"/>
  <c r="Q218" i="45"/>
  <c r="O218" i="45"/>
  <c r="M218" i="45"/>
  <c r="K218" i="45"/>
  <c r="X217" i="45"/>
  <c r="W217" i="45"/>
  <c r="V217" i="45"/>
  <c r="U217" i="45"/>
  <c r="T217" i="45"/>
  <c r="S217" i="45"/>
  <c r="Q217" i="45"/>
  <c r="O217" i="45"/>
  <c r="M217" i="45"/>
  <c r="K217" i="45"/>
  <c r="X216" i="45"/>
  <c r="W216" i="45"/>
  <c r="V216" i="45"/>
  <c r="U216" i="45"/>
  <c r="T216" i="45"/>
  <c r="S216" i="45"/>
  <c r="Q216" i="45"/>
  <c r="O216" i="45"/>
  <c r="M216" i="45"/>
  <c r="K216" i="45"/>
  <c r="X215" i="45"/>
  <c r="W215" i="45"/>
  <c r="V215" i="45"/>
  <c r="U215" i="45"/>
  <c r="T215" i="45"/>
  <c r="S215" i="45"/>
  <c r="Q215" i="45"/>
  <c r="O215" i="45"/>
  <c r="M215" i="45"/>
  <c r="K215" i="45"/>
  <c r="X214" i="45"/>
  <c r="W214" i="45"/>
  <c r="V214" i="45"/>
  <c r="U214" i="45"/>
  <c r="T214" i="45"/>
  <c r="S214" i="45"/>
  <c r="Q214" i="45"/>
  <c r="O214" i="45"/>
  <c r="M214" i="45"/>
  <c r="K214" i="45"/>
  <c r="X213" i="45"/>
  <c r="W213" i="45"/>
  <c r="V213" i="45"/>
  <c r="U213" i="45"/>
  <c r="T213" i="45"/>
  <c r="S213" i="45"/>
  <c r="Q213" i="45"/>
  <c r="O213" i="45"/>
  <c r="M213" i="45"/>
  <c r="K213" i="45"/>
  <c r="X212" i="45"/>
  <c r="W212" i="45"/>
  <c r="V212" i="45"/>
  <c r="U212" i="45"/>
  <c r="T212" i="45"/>
  <c r="S212" i="45"/>
  <c r="Q212" i="45"/>
  <c r="O212" i="45"/>
  <c r="M212" i="45"/>
  <c r="K212" i="45"/>
  <c r="X211" i="45"/>
  <c r="W211" i="45"/>
  <c r="V211" i="45"/>
  <c r="U211" i="45"/>
  <c r="T211" i="45"/>
  <c r="S211" i="45"/>
  <c r="Q211" i="45"/>
  <c r="O211" i="45"/>
  <c r="M211" i="45"/>
  <c r="K211" i="45"/>
  <c r="X210" i="45"/>
  <c r="W210" i="45"/>
  <c r="V210" i="45"/>
  <c r="U210" i="45"/>
  <c r="T210" i="45"/>
  <c r="S210" i="45"/>
  <c r="Q210" i="45"/>
  <c r="O210" i="45"/>
  <c r="M210" i="45"/>
  <c r="K210" i="45"/>
  <c r="X209" i="45"/>
  <c r="W209" i="45"/>
  <c r="V209" i="45"/>
  <c r="U209" i="45"/>
  <c r="T209" i="45"/>
  <c r="S209" i="45"/>
  <c r="Q209" i="45"/>
  <c r="O209" i="45"/>
  <c r="M209" i="45"/>
  <c r="K209" i="45"/>
  <c r="X208" i="45"/>
  <c r="W208" i="45"/>
  <c r="V208" i="45"/>
  <c r="U208" i="45"/>
  <c r="T208" i="45"/>
  <c r="S208" i="45"/>
  <c r="Q208" i="45"/>
  <c r="O208" i="45"/>
  <c r="M208" i="45"/>
  <c r="K208" i="45"/>
  <c r="X207" i="45"/>
  <c r="W207" i="45"/>
  <c r="V207" i="45"/>
  <c r="U207" i="45"/>
  <c r="T207" i="45"/>
  <c r="S207" i="45"/>
  <c r="Q207" i="45"/>
  <c r="O207" i="45"/>
  <c r="M207" i="45"/>
  <c r="K207" i="45"/>
  <c r="X206" i="45"/>
  <c r="W206" i="45"/>
  <c r="V206" i="45"/>
  <c r="U206" i="45"/>
  <c r="T206" i="45"/>
  <c r="S206" i="45"/>
  <c r="Q206" i="45"/>
  <c r="O206" i="45"/>
  <c r="M206" i="45"/>
  <c r="K206" i="45"/>
  <c r="X205" i="45"/>
  <c r="W205" i="45"/>
  <c r="V205" i="45"/>
  <c r="U205" i="45"/>
  <c r="T205" i="45"/>
  <c r="S205" i="45"/>
  <c r="Q205" i="45"/>
  <c r="O205" i="45"/>
  <c r="M205" i="45"/>
  <c r="K205" i="45"/>
  <c r="X204" i="45"/>
  <c r="W204" i="45"/>
  <c r="V204" i="45"/>
  <c r="U204" i="45"/>
  <c r="T204" i="45"/>
  <c r="S204" i="45"/>
  <c r="Q204" i="45"/>
  <c r="O204" i="45"/>
  <c r="M204" i="45"/>
  <c r="K204" i="45"/>
  <c r="X203" i="45"/>
  <c r="W203" i="45"/>
  <c r="V203" i="45"/>
  <c r="U203" i="45"/>
  <c r="T203" i="45"/>
  <c r="S203" i="45"/>
  <c r="Q203" i="45"/>
  <c r="O203" i="45"/>
  <c r="M203" i="45"/>
  <c r="K203" i="45"/>
  <c r="X202" i="45"/>
  <c r="W202" i="45"/>
  <c r="V202" i="45"/>
  <c r="U202" i="45"/>
  <c r="T202" i="45"/>
  <c r="S202" i="45"/>
  <c r="Q202" i="45"/>
  <c r="O202" i="45"/>
  <c r="M202" i="45"/>
  <c r="K202" i="45"/>
  <c r="X201" i="45"/>
  <c r="W201" i="45"/>
  <c r="V201" i="45"/>
  <c r="U201" i="45"/>
  <c r="T201" i="45"/>
  <c r="S201" i="45"/>
  <c r="Q201" i="45"/>
  <c r="O201" i="45"/>
  <c r="M201" i="45"/>
  <c r="K201" i="45"/>
  <c r="X200" i="45"/>
  <c r="W200" i="45"/>
  <c r="V200" i="45"/>
  <c r="U200" i="45"/>
  <c r="T200" i="45"/>
  <c r="S200" i="45"/>
  <c r="Q200" i="45"/>
  <c r="O200" i="45"/>
  <c r="M200" i="45"/>
  <c r="K200" i="45"/>
  <c r="X199" i="45"/>
  <c r="W199" i="45"/>
  <c r="V199" i="45"/>
  <c r="U199" i="45"/>
  <c r="T199" i="45"/>
  <c r="S199" i="45"/>
  <c r="Q199" i="45"/>
  <c r="O199" i="45"/>
  <c r="M199" i="45"/>
  <c r="K199" i="45"/>
  <c r="X198" i="45"/>
  <c r="W198" i="45"/>
  <c r="V198" i="45"/>
  <c r="U198" i="45"/>
  <c r="T198" i="45"/>
  <c r="S198" i="45"/>
  <c r="Q198" i="45"/>
  <c r="O198" i="45"/>
  <c r="M198" i="45"/>
  <c r="K198" i="45"/>
  <c r="X197" i="45"/>
  <c r="W197" i="45"/>
  <c r="V197" i="45"/>
  <c r="U197" i="45"/>
  <c r="T197" i="45"/>
  <c r="S197" i="45"/>
  <c r="Q197" i="45"/>
  <c r="O197" i="45"/>
  <c r="M197" i="45"/>
  <c r="K197" i="45"/>
  <c r="X196" i="45"/>
  <c r="W196" i="45"/>
  <c r="V196" i="45"/>
  <c r="U196" i="45"/>
  <c r="T196" i="45"/>
  <c r="S196" i="45"/>
  <c r="Q196" i="45"/>
  <c r="O196" i="45"/>
  <c r="M196" i="45"/>
  <c r="K196" i="45"/>
  <c r="X195" i="45"/>
  <c r="W195" i="45"/>
  <c r="V195" i="45"/>
  <c r="U195" i="45"/>
  <c r="T195" i="45"/>
  <c r="S195" i="45"/>
  <c r="Q195" i="45"/>
  <c r="O195" i="45"/>
  <c r="M195" i="45"/>
  <c r="K195" i="45"/>
  <c r="X194" i="45"/>
  <c r="W194" i="45"/>
  <c r="V194" i="45"/>
  <c r="U194" i="45"/>
  <c r="T194" i="45"/>
  <c r="S194" i="45"/>
  <c r="Q194" i="45"/>
  <c r="O194" i="45"/>
  <c r="M194" i="45"/>
  <c r="K194" i="45"/>
  <c r="X193" i="45"/>
  <c r="W193" i="45"/>
  <c r="V193" i="45"/>
  <c r="U193" i="45"/>
  <c r="T193" i="45"/>
  <c r="S193" i="45"/>
  <c r="Q193" i="45"/>
  <c r="O193" i="45"/>
  <c r="M193" i="45"/>
  <c r="K193" i="45"/>
  <c r="X192" i="45"/>
  <c r="W192" i="45"/>
  <c r="V192" i="45"/>
  <c r="U192" i="45"/>
  <c r="T192" i="45"/>
  <c r="S192" i="45"/>
  <c r="Q192" i="45"/>
  <c r="O192" i="45"/>
  <c r="M192" i="45"/>
  <c r="K192" i="45"/>
  <c r="X191" i="45"/>
  <c r="W191" i="45"/>
  <c r="V191" i="45"/>
  <c r="U191" i="45"/>
  <c r="T191" i="45"/>
  <c r="S191" i="45"/>
  <c r="Q191" i="45"/>
  <c r="O191" i="45"/>
  <c r="M191" i="45"/>
  <c r="K191" i="45"/>
  <c r="X190" i="45"/>
  <c r="W190" i="45"/>
  <c r="V190" i="45"/>
  <c r="U190" i="45"/>
  <c r="T190" i="45"/>
  <c r="S190" i="45"/>
  <c r="Q190" i="45"/>
  <c r="O190" i="45"/>
  <c r="M190" i="45"/>
  <c r="K190" i="45"/>
  <c r="X189" i="45"/>
  <c r="W189" i="45"/>
  <c r="V189" i="45"/>
  <c r="U189" i="45"/>
  <c r="T189" i="45"/>
  <c r="S189" i="45"/>
  <c r="Q189" i="45"/>
  <c r="O189" i="45"/>
  <c r="M189" i="45"/>
  <c r="K189" i="45"/>
  <c r="X188" i="45"/>
  <c r="W188" i="45"/>
  <c r="V188" i="45"/>
  <c r="U188" i="45"/>
  <c r="T188" i="45"/>
  <c r="S188" i="45"/>
  <c r="Q188" i="45"/>
  <c r="O188" i="45"/>
  <c r="M188" i="45"/>
  <c r="K188" i="45"/>
  <c r="X187" i="45"/>
  <c r="W187" i="45"/>
  <c r="V187" i="45"/>
  <c r="U187" i="45"/>
  <c r="T187" i="45"/>
  <c r="S187" i="45"/>
  <c r="Q187" i="45"/>
  <c r="O187" i="45"/>
  <c r="M187" i="45"/>
  <c r="K187" i="45"/>
  <c r="X186" i="45"/>
  <c r="W186" i="45"/>
  <c r="V186" i="45"/>
  <c r="U186" i="45"/>
  <c r="T186" i="45"/>
  <c r="S186" i="45"/>
  <c r="Q186" i="45"/>
  <c r="O186" i="45"/>
  <c r="M186" i="45"/>
  <c r="K186" i="45"/>
  <c r="X185" i="45"/>
  <c r="W185" i="45"/>
  <c r="V185" i="45"/>
  <c r="U185" i="45"/>
  <c r="T185" i="45"/>
  <c r="S185" i="45"/>
  <c r="Q185" i="45"/>
  <c r="O185" i="45"/>
  <c r="M185" i="45"/>
  <c r="K185" i="45"/>
  <c r="X184" i="45"/>
  <c r="W184" i="45"/>
  <c r="V184" i="45"/>
  <c r="U184" i="45"/>
  <c r="T184" i="45"/>
  <c r="S184" i="45"/>
  <c r="Q184" i="45"/>
  <c r="O184" i="45"/>
  <c r="M184" i="45"/>
  <c r="K184" i="45"/>
  <c r="X183" i="45"/>
  <c r="W183" i="45"/>
  <c r="V183" i="45"/>
  <c r="U183" i="45"/>
  <c r="T183" i="45"/>
  <c r="S183" i="45"/>
  <c r="Q183" i="45"/>
  <c r="O183" i="45"/>
  <c r="M183" i="45"/>
  <c r="K183" i="45"/>
  <c r="X182" i="45"/>
  <c r="W182" i="45"/>
  <c r="V182" i="45"/>
  <c r="U182" i="45"/>
  <c r="T182" i="45"/>
  <c r="S182" i="45"/>
  <c r="Q182" i="45"/>
  <c r="O182" i="45"/>
  <c r="M182" i="45"/>
  <c r="K182" i="45"/>
  <c r="X181" i="45"/>
  <c r="W181" i="45"/>
  <c r="V181" i="45"/>
  <c r="U181" i="45"/>
  <c r="T181" i="45"/>
  <c r="S181" i="45"/>
  <c r="Q181" i="45"/>
  <c r="O181" i="45"/>
  <c r="M181" i="45"/>
  <c r="K181" i="45"/>
  <c r="X180" i="45"/>
  <c r="W180" i="45"/>
  <c r="V180" i="45"/>
  <c r="U180" i="45"/>
  <c r="T180" i="45"/>
  <c r="S180" i="45"/>
  <c r="Q180" i="45"/>
  <c r="O180" i="45"/>
  <c r="M180" i="45"/>
  <c r="K180" i="45"/>
  <c r="X179" i="45"/>
  <c r="W179" i="45"/>
  <c r="V179" i="45"/>
  <c r="U179" i="45"/>
  <c r="T179" i="45"/>
  <c r="S179" i="45"/>
  <c r="Q179" i="45"/>
  <c r="O179" i="45"/>
  <c r="M179" i="45"/>
  <c r="K179" i="45"/>
  <c r="X178" i="45"/>
  <c r="W178" i="45"/>
  <c r="V178" i="45"/>
  <c r="U178" i="45"/>
  <c r="T178" i="45"/>
  <c r="S178" i="45"/>
  <c r="Q178" i="45"/>
  <c r="O178" i="45"/>
  <c r="M178" i="45"/>
  <c r="K178" i="45"/>
  <c r="X177" i="45"/>
  <c r="W177" i="45"/>
  <c r="V177" i="45"/>
  <c r="U177" i="45"/>
  <c r="T177" i="45"/>
  <c r="S177" i="45"/>
  <c r="Q177" i="45"/>
  <c r="O177" i="45"/>
  <c r="M177" i="45"/>
  <c r="K177" i="45"/>
  <c r="X176" i="45"/>
  <c r="W176" i="45"/>
  <c r="V176" i="45"/>
  <c r="U176" i="45"/>
  <c r="T176" i="45"/>
  <c r="S176" i="45"/>
  <c r="Q176" i="45"/>
  <c r="O176" i="45"/>
  <c r="M176" i="45"/>
  <c r="K176" i="45"/>
  <c r="X175" i="45"/>
  <c r="W175" i="45"/>
  <c r="V175" i="45"/>
  <c r="U175" i="45"/>
  <c r="T175" i="45"/>
  <c r="S175" i="45"/>
  <c r="Q175" i="45"/>
  <c r="O175" i="45"/>
  <c r="M175" i="45"/>
  <c r="K175" i="45"/>
  <c r="X174" i="45"/>
  <c r="W174" i="45"/>
  <c r="V174" i="45"/>
  <c r="U174" i="45"/>
  <c r="T174" i="45"/>
  <c r="S174" i="45"/>
  <c r="Q174" i="45"/>
  <c r="O174" i="45"/>
  <c r="M174" i="45"/>
  <c r="K174" i="45"/>
  <c r="X173" i="45"/>
  <c r="W173" i="45"/>
  <c r="V173" i="45"/>
  <c r="U173" i="45"/>
  <c r="T173" i="45"/>
  <c r="S173" i="45"/>
  <c r="Q173" i="45"/>
  <c r="O173" i="45"/>
  <c r="M173" i="45"/>
  <c r="K173" i="45"/>
  <c r="X172" i="45"/>
  <c r="W172" i="45"/>
  <c r="V172" i="45"/>
  <c r="U172" i="45"/>
  <c r="T172" i="45"/>
  <c r="S172" i="45"/>
  <c r="Q172" i="45"/>
  <c r="O172" i="45"/>
  <c r="M172" i="45"/>
  <c r="K172" i="45"/>
  <c r="X171" i="45"/>
  <c r="W171" i="45"/>
  <c r="V171" i="45"/>
  <c r="U171" i="45"/>
  <c r="T171" i="45"/>
  <c r="S171" i="45"/>
  <c r="Q171" i="45"/>
  <c r="O171" i="45"/>
  <c r="M171" i="45"/>
  <c r="K171" i="45"/>
  <c r="X170" i="45"/>
  <c r="W170" i="45"/>
  <c r="V170" i="45"/>
  <c r="U170" i="45"/>
  <c r="T170" i="45"/>
  <c r="S170" i="45"/>
  <c r="Q170" i="45"/>
  <c r="O170" i="45"/>
  <c r="M170" i="45"/>
  <c r="K170" i="45"/>
  <c r="X169" i="45"/>
  <c r="W169" i="45"/>
  <c r="V169" i="45"/>
  <c r="U169" i="45"/>
  <c r="T169" i="45"/>
  <c r="S169" i="45"/>
  <c r="Q169" i="45"/>
  <c r="O169" i="45"/>
  <c r="M169" i="45"/>
  <c r="K169" i="45"/>
  <c r="X168" i="45"/>
  <c r="W168" i="45"/>
  <c r="V168" i="45"/>
  <c r="U168" i="45"/>
  <c r="T168" i="45"/>
  <c r="S168" i="45"/>
  <c r="Q168" i="45"/>
  <c r="O168" i="45"/>
  <c r="M168" i="45"/>
  <c r="K168" i="45"/>
  <c r="X167" i="45"/>
  <c r="W167" i="45"/>
  <c r="V167" i="45"/>
  <c r="U167" i="45"/>
  <c r="T167" i="45"/>
  <c r="S167" i="45"/>
  <c r="Q167" i="45"/>
  <c r="O167" i="45"/>
  <c r="M167" i="45"/>
  <c r="K167" i="45"/>
  <c r="X166" i="45"/>
  <c r="W166" i="45"/>
  <c r="V166" i="45"/>
  <c r="U166" i="45"/>
  <c r="T166" i="45"/>
  <c r="S166" i="45"/>
  <c r="Q166" i="45"/>
  <c r="O166" i="45"/>
  <c r="M166" i="45"/>
  <c r="K166" i="45"/>
  <c r="X165" i="45"/>
  <c r="W165" i="45"/>
  <c r="V165" i="45"/>
  <c r="U165" i="45"/>
  <c r="T165" i="45"/>
  <c r="S165" i="45"/>
  <c r="Q165" i="45"/>
  <c r="O165" i="45"/>
  <c r="M165" i="45"/>
  <c r="K165" i="45"/>
  <c r="X164" i="45"/>
  <c r="W164" i="45"/>
  <c r="V164" i="45"/>
  <c r="U164" i="45"/>
  <c r="T164" i="45"/>
  <c r="S164" i="45"/>
  <c r="Q164" i="45"/>
  <c r="O164" i="45"/>
  <c r="M164" i="45"/>
  <c r="K164" i="45"/>
  <c r="X163" i="45"/>
  <c r="W163" i="45"/>
  <c r="V163" i="45"/>
  <c r="U163" i="45"/>
  <c r="T163" i="45"/>
  <c r="S163" i="45"/>
  <c r="Q163" i="45"/>
  <c r="O163" i="45"/>
  <c r="M163" i="45"/>
  <c r="K163" i="45"/>
  <c r="X162" i="45"/>
  <c r="W162" i="45"/>
  <c r="V162" i="45"/>
  <c r="U162" i="45"/>
  <c r="T162" i="45"/>
  <c r="S162" i="45"/>
  <c r="Q162" i="45"/>
  <c r="O162" i="45"/>
  <c r="M162" i="45"/>
  <c r="K162" i="45"/>
  <c r="X161" i="45"/>
  <c r="W161" i="45"/>
  <c r="V161" i="45"/>
  <c r="U161" i="45"/>
  <c r="T161" i="45"/>
  <c r="S161" i="45"/>
  <c r="Q161" i="45"/>
  <c r="O161" i="45"/>
  <c r="M161" i="45"/>
  <c r="K161" i="45"/>
  <c r="X160" i="45"/>
  <c r="W160" i="45"/>
  <c r="V160" i="45"/>
  <c r="U160" i="45"/>
  <c r="T160" i="45"/>
  <c r="S160" i="45"/>
  <c r="Q160" i="45"/>
  <c r="O160" i="45"/>
  <c r="M160" i="45"/>
  <c r="K160" i="45"/>
  <c r="X159" i="45"/>
  <c r="W159" i="45"/>
  <c r="V159" i="45"/>
  <c r="U159" i="45"/>
  <c r="T159" i="45"/>
  <c r="S159" i="45"/>
  <c r="Q159" i="45"/>
  <c r="O159" i="45"/>
  <c r="M159" i="45"/>
  <c r="K159" i="45"/>
  <c r="X158" i="45"/>
  <c r="W158" i="45"/>
  <c r="V158" i="45"/>
  <c r="U158" i="45"/>
  <c r="T158" i="45"/>
  <c r="S158" i="45"/>
  <c r="Q158" i="45"/>
  <c r="O158" i="45"/>
  <c r="M158" i="45"/>
  <c r="K158" i="45"/>
  <c r="X157" i="45"/>
  <c r="W157" i="45"/>
  <c r="V157" i="45"/>
  <c r="U157" i="45"/>
  <c r="T157" i="45"/>
  <c r="S157" i="45"/>
  <c r="Q157" i="45"/>
  <c r="O157" i="45"/>
  <c r="M157" i="45"/>
  <c r="K157" i="45"/>
  <c r="X156" i="45"/>
  <c r="W156" i="45"/>
  <c r="V156" i="45"/>
  <c r="U156" i="45"/>
  <c r="T156" i="45"/>
  <c r="S156" i="45"/>
  <c r="Q156" i="45"/>
  <c r="O156" i="45"/>
  <c r="M156" i="45"/>
  <c r="K156" i="45"/>
  <c r="X155" i="45"/>
  <c r="W155" i="45"/>
  <c r="V155" i="45"/>
  <c r="U155" i="45"/>
  <c r="T155" i="45"/>
  <c r="S155" i="45"/>
  <c r="Q155" i="45"/>
  <c r="O155" i="45"/>
  <c r="M155" i="45"/>
  <c r="K155" i="45"/>
  <c r="X154" i="45"/>
  <c r="W154" i="45"/>
  <c r="V154" i="45"/>
  <c r="U154" i="45"/>
  <c r="T154" i="45"/>
  <c r="S154" i="45"/>
  <c r="Q154" i="45"/>
  <c r="O154" i="45"/>
  <c r="M154" i="45"/>
  <c r="K154" i="45"/>
  <c r="X153" i="45"/>
  <c r="W153" i="45"/>
  <c r="V153" i="45"/>
  <c r="U153" i="45"/>
  <c r="T153" i="45"/>
  <c r="S153" i="45"/>
  <c r="Q153" i="45"/>
  <c r="O153" i="45"/>
  <c r="M153" i="45"/>
  <c r="K153" i="45"/>
  <c r="X152" i="45"/>
  <c r="W152" i="45"/>
  <c r="V152" i="45"/>
  <c r="U152" i="45"/>
  <c r="T152" i="45"/>
  <c r="S152" i="45"/>
  <c r="Q152" i="45"/>
  <c r="O152" i="45"/>
  <c r="M152" i="45"/>
  <c r="K152" i="45"/>
  <c r="X151" i="45"/>
  <c r="W151" i="45"/>
  <c r="V151" i="45"/>
  <c r="U151" i="45"/>
  <c r="T151" i="45"/>
  <c r="S151" i="45"/>
  <c r="Q151" i="45"/>
  <c r="O151" i="45"/>
  <c r="M151" i="45"/>
  <c r="K151" i="45"/>
  <c r="X150" i="45"/>
  <c r="W150" i="45"/>
  <c r="V150" i="45"/>
  <c r="U150" i="45"/>
  <c r="T150" i="45"/>
  <c r="S150" i="45"/>
  <c r="Q150" i="45"/>
  <c r="O150" i="45"/>
  <c r="M150" i="45"/>
  <c r="K150" i="45"/>
  <c r="X149" i="45"/>
  <c r="W149" i="45"/>
  <c r="V149" i="45"/>
  <c r="U149" i="45"/>
  <c r="T149" i="45"/>
  <c r="S149" i="45"/>
  <c r="Q149" i="45"/>
  <c r="O149" i="45"/>
  <c r="M149" i="45"/>
  <c r="K149" i="45"/>
  <c r="X148" i="45"/>
  <c r="W148" i="45"/>
  <c r="V148" i="45"/>
  <c r="U148" i="45"/>
  <c r="T148" i="45"/>
  <c r="S148" i="45"/>
  <c r="Q148" i="45"/>
  <c r="O148" i="45"/>
  <c r="M148" i="45"/>
  <c r="K148" i="45"/>
  <c r="X147" i="45"/>
  <c r="W147" i="45"/>
  <c r="V147" i="45"/>
  <c r="U147" i="45"/>
  <c r="T147" i="45"/>
  <c r="S147" i="45"/>
  <c r="Q147" i="45"/>
  <c r="O147" i="45"/>
  <c r="M147" i="45"/>
  <c r="K147" i="45"/>
  <c r="X146" i="45"/>
  <c r="W146" i="45"/>
  <c r="V146" i="45"/>
  <c r="U146" i="45"/>
  <c r="T146" i="45"/>
  <c r="S146" i="45"/>
  <c r="Q146" i="45"/>
  <c r="O146" i="45"/>
  <c r="M146" i="45"/>
  <c r="K146" i="45"/>
  <c r="X145" i="45"/>
  <c r="W145" i="45"/>
  <c r="V145" i="45"/>
  <c r="U145" i="45"/>
  <c r="T145" i="45"/>
  <c r="S145" i="45"/>
  <c r="Q145" i="45"/>
  <c r="O145" i="45"/>
  <c r="M145" i="45"/>
  <c r="K145" i="45"/>
  <c r="X144" i="45"/>
  <c r="W144" i="45"/>
  <c r="V144" i="45"/>
  <c r="U144" i="45"/>
  <c r="T144" i="45"/>
  <c r="S144" i="45"/>
  <c r="Q144" i="45"/>
  <c r="O144" i="45"/>
  <c r="M144" i="45"/>
  <c r="K144" i="45"/>
  <c r="X143" i="45"/>
  <c r="W143" i="45"/>
  <c r="V143" i="45"/>
  <c r="U143" i="45"/>
  <c r="T143" i="45"/>
  <c r="S143" i="45"/>
  <c r="Q143" i="45"/>
  <c r="O143" i="45"/>
  <c r="M143" i="45"/>
  <c r="K143" i="45"/>
  <c r="X142" i="45"/>
  <c r="W142" i="45"/>
  <c r="V142" i="45"/>
  <c r="U142" i="45"/>
  <c r="T142" i="45"/>
  <c r="S142" i="45"/>
  <c r="Q142" i="45"/>
  <c r="O142" i="45"/>
  <c r="M142" i="45"/>
  <c r="K142" i="45"/>
  <c r="X141" i="45"/>
  <c r="W141" i="45"/>
  <c r="V141" i="45"/>
  <c r="U141" i="45"/>
  <c r="T141" i="45"/>
  <c r="S141" i="45"/>
  <c r="Q141" i="45"/>
  <c r="O141" i="45"/>
  <c r="M141" i="45"/>
  <c r="K141" i="45"/>
  <c r="X140" i="45"/>
  <c r="W140" i="45"/>
  <c r="V140" i="45"/>
  <c r="U140" i="45"/>
  <c r="T140" i="45"/>
  <c r="S140" i="45"/>
  <c r="Q140" i="45"/>
  <c r="O140" i="45"/>
  <c r="M140" i="45"/>
  <c r="K140" i="45"/>
  <c r="X139" i="45"/>
  <c r="W139" i="45"/>
  <c r="V139" i="45"/>
  <c r="U139" i="45"/>
  <c r="T139" i="45"/>
  <c r="S139" i="45"/>
  <c r="Q139" i="45"/>
  <c r="O139" i="45"/>
  <c r="M139" i="45"/>
  <c r="K139" i="45"/>
  <c r="X138" i="45"/>
  <c r="W138" i="45"/>
  <c r="V138" i="45"/>
  <c r="U138" i="45"/>
  <c r="T138" i="45"/>
  <c r="S138" i="45"/>
  <c r="Q138" i="45"/>
  <c r="O138" i="45"/>
  <c r="M138" i="45"/>
  <c r="K138" i="45"/>
  <c r="X137" i="45"/>
  <c r="W137" i="45"/>
  <c r="V137" i="45"/>
  <c r="U137" i="45"/>
  <c r="T137" i="45"/>
  <c r="S137" i="45"/>
  <c r="Q137" i="45"/>
  <c r="O137" i="45"/>
  <c r="M137" i="45"/>
  <c r="K137" i="45"/>
  <c r="X136" i="45"/>
  <c r="W136" i="45"/>
  <c r="V136" i="45"/>
  <c r="U136" i="45"/>
  <c r="T136" i="45"/>
  <c r="S136" i="45"/>
  <c r="Q136" i="45"/>
  <c r="O136" i="45"/>
  <c r="M136" i="45"/>
  <c r="K136" i="45"/>
  <c r="X135" i="45"/>
  <c r="W135" i="45"/>
  <c r="V135" i="45"/>
  <c r="U135" i="45"/>
  <c r="T135" i="45"/>
  <c r="S135" i="45"/>
  <c r="Q135" i="45"/>
  <c r="O135" i="45"/>
  <c r="M135" i="45"/>
  <c r="K135" i="45"/>
  <c r="X134" i="45"/>
  <c r="W134" i="45"/>
  <c r="V134" i="45"/>
  <c r="U134" i="45"/>
  <c r="T134" i="45"/>
  <c r="S134" i="45"/>
  <c r="Q134" i="45"/>
  <c r="O134" i="45"/>
  <c r="M134" i="45"/>
  <c r="K134" i="45"/>
  <c r="X133" i="45"/>
  <c r="W133" i="45"/>
  <c r="V133" i="45"/>
  <c r="U133" i="45"/>
  <c r="T133" i="45"/>
  <c r="S133" i="45"/>
  <c r="Q133" i="45"/>
  <c r="O133" i="45"/>
  <c r="M133" i="45"/>
  <c r="K133" i="45"/>
  <c r="X132" i="45"/>
  <c r="W132" i="45"/>
  <c r="V132" i="45"/>
  <c r="U132" i="45"/>
  <c r="T132" i="45"/>
  <c r="S132" i="45"/>
  <c r="Q132" i="45"/>
  <c r="O132" i="45"/>
  <c r="M132" i="45"/>
  <c r="K132" i="45"/>
  <c r="X131" i="45"/>
  <c r="W131" i="45"/>
  <c r="V131" i="45"/>
  <c r="U131" i="45"/>
  <c r="T131" i="45"/>
  <c r="S131" i="45"/>
  <c r="Q131" i="45"/>
  <c r="O131" i="45"/>
  <c r="M131" i="45"/>
  <c r="K131" i="45"/>
  <c r="X130" i="45"/>
  <c r="W130" i="45"/>
  <c r="V130" i="45"/>
  <c r="U130" i="45"/>
  <c r="T130" i="45"/>
  <c r="S130" i="45"/>
  <c r="Q130" i="45"/>
  <c r="O130" i="45"/>
  <c r="M130" i="45"/>
  <c r="K130" i="45"/>
  <c r="X129" i="45"/>
  <c r="W129" i="45"/>
  <c r="V129" i="45"/>
  <c r="U129" i="45"/>
  <c r="T129" i="45"/>
  <c r="S129" i="45"/>
  <c r="Q129" i="45"/>
  <c r="O129" i="45"/>
  <c r="M129" i="45"/>
  <c r="K129" i="45"/>
  <c r="X128" i="45"/>
  <c r="W128" i="45"/>
  <c r="V128" i="45"/>
  <c r="U128" i="45"/>
  <c r="T128" i="45"/>
  <c r="S128" i="45"/>
  <c r="Q128" i="45"/>
  <c r="O128" i="45"/>
  <c r="M128" i="45"/>
  <c r="K128" i="45"/>
  <c r="X127" i="45"/>
  <c r="W127" i="45"/>
  <c r="V127" i="45"/>
  <c r="U127" i="45"/>
  <c r="T127" i="45"/>
  <c r="S127" i="45"/>
  <c r="Q127" i="45"/>
  <c r="O127" i="45"/>
  <c r="M127" i="45"/>
  <c r="K127" i="45"/>
  <c r="X126" i="45"/>
  <c r="W126" i="45"/>
  <c r="V126" i="45"/>
  <c r="U126" i="45"/>
  <c r="T126" i="45"/>
  <c r="S126" i="45"/>
  <c r="Q126" i="45"/>
  <c r="O126" i="45"/>
  <c r="M126" i="45"/>
  <c r="K126" i="45"/>
  <c r="X125" i="45"/>
  <c r="W125" i="45"/>
  <c r="V125" i="45"/>
  <c r="U125" i="45"/>
  <c r="T125" i="45"/>
  <c r="S125" i="45"/>
  <c r="Q125" i="45"/>
  <c r="O125" i="45"/>
  <c r="M125" i="45"/>
  <c r="K125" i="45"/>
  <c r="X124" i="45"/>
  <c r="W124" i="45"/>
  <c r="V124" i="45"/>
  <c r="U124" i="45"/>
  <c r="T124" i="45"/>
  <c r="S124" i="45"/>
  <c r="Q124" i="45"/>
  <c r="O124" i="45"/>
  <c r="M124" i="45"/>
  <c r="K124" i="45"/>
  <c r="X123" i="45"/>
  <c r="W123" i="45"/>
  <c r="V123" i="45"/>
  <c r="U123" i="45"/>
  <c r="T123" i="45"/>
  <c r="S123" i="45"/>
  <c r="Q123" i="45"/>
  <c r="O123" i="45"/>
  <c r="M123" i="45"/>
  <c r="K123" i="45"/>
  <c r="X122" i="45"/>
  <c r="W122" i="45"/>
  <c r="V122" i="45"/>
  <c r="U122" i="45"/>
  <c r="T122" i="45"/>
  <c r="S122" i="45"/>
  <c r="Q122" i="45"/>
  <c r="O122" i="45"/>
  <c r="M122" i="45"/>
  <c r="K122" i="45"/>
  <c r="X121" i="45"/>
  <c r="W121" i="45"/>
  <c r="V121" i="45"/>
  <c r="U121" i="45"/>
  <c r="T121" i="45"/>
  <c r="S121" i="45"/>
  <c r="Q121" i="45"/>
  <c r="O121" i="45"/>
  <c r="M121" i="45"/>
  <c r="K121" i="45"/>
  <c r="X120" i="45"/>
  <c r="W120" i="45"/>
  <c r="V120" i="45"/>
  <c r="U120" i="45"/>
  <c r="T120" i="45"/>
  <c r="S120" i="45"/>
  <c r="Q120" i="45"/>
  <c r="O120" i="45"/>
  <c r="M120" i="45"/>
  <c r="K120" i="45"/>
  <c r="X119" i="45"/>
  <c r="W119" i="45"/>
  <c r="V119" i="45"/>
  <c r="U119" i="45"/>
  <c r="T119" i="45"/>
  <c r="S119" i="45"/>
  <c r="Q119" i="45"/>
  <c r="O119" i="45"/>
  <c r="M119" i="45"/>
  <c r="K119" i="45"/>
  <c r="X118" i="45"/>
  <c r="W118" i="45"/>
  <c r="V118" i="45"/>
  <c r="U118" i="45"/>
  <c r="T118" i="45"/>
  <c r="S118" i="45"/>
  <c r="Q118" i="45"/>
  <c r="O118" i="45"/>
  <c r="M118" i="45"/>
  <c r="K118" i="45"/>
  <c r="X117" i="45"/>
  <c r="W117" i="45"/>
  <c r="V117" i="45"/>
  <c r="U117" i="45"/>
  <c r="T117" i="45"/>
  <c r="S117" i="45"/>
  <c r="Q117" i="45"/>
  <c r="O117" i="45"/>
  <c r="M117" i="45"/>
  <c r="K117" i="45"/>
  <c r="X116" i="45"/>
  <c r="W116" i="45"/>
  <c r="V116" i="45"/>
  <c r="U116" i="45"/>
  <c r="T116" i="45"/>
  <c r="S116" i="45"/>
  <c r="Q116" i="45"/>
  <c r="O116" i="45"/>
  <c r="M116" i="45"/>
  <c r="K116" i="45"/>
  <c r="X115" i="45"/>
  <c r="W115" i="45"/>
  <c r="V115" i="45"/>
  <c r="U115" i="45"/>
  <c r="T115" i="45"/>
  <c r="S115" i="45"/>
  <c r="Q115" i="45"/>
  <c r="O115" i="45"/>
  <c r="M115" i="45"/>
  <c r="K115" i="45"/>
  <c r="X114" i="45"/>
  <c r="W114" i="45"/>
  <c r="V114" i="45"/>
  <c r="U114" i="45"/>
  <c r="T114" i="45"/>
  <c r="S114" i="45"/>
  <c r="Q114" i="45"/>
  <c r="O114" i="45"/>
  <c r="M114" i="45"/>
  <c r="K114" i="45"/>
  <c r="X113" i="45"/>
  <c r="W113" i="45"/>
  <c r="V113" i="45"/>
  <c r="U113" i="45"/>
  <c r="T113" i="45"/>
  <c r="S113" i="45"/>
  <c r="Q113" i="45"/>
  <c r="O113" i="45"/>
  <c r="M113" i="45"/>
  <c r="K113" i="45"/>
  <c r="X112" i="45"/>
  <c r="W112" i="45"/>
  <c r="V112" i="45"/>
  <c r="U112" i="45"/>
  <c r="T112" i="45"/>
  <c r="S112" i="45"/>
  <c r="Q112" i="45"/>
  <c r="O112" i="45"/>
  <c r="M112" i="45"/>
  <c r="K112" i="45"/>
  <c r="X111" i="45"/>
  <c r="W111" i="45"/>
  <c r="V111" i="45"/>
  <c r="U111" i="45"/>
  <c r="T111" i="45"/>
  <c r="S111" i="45"/>
  <c r="Q111" i="45"/>
  <c r="O111" i="45"/>
  <c r="M111" i="45"/>
  <c r="K111" i="45"/>
  <c r="X110" i="45"/>
  <c r="W110" i="45"/>
  <c r="V110" i="45"/>
  <c r="U110" i="45"/>
  <c r="T110" i="45"/>
  <c r="S110" i="45"/>
  <c r="Q110" i="45"/>
  <c r="O110" i="45"/>
  <c r="M110" i="45"/>
  <c r="K110" i="45"/>
  <c r="X109" i="45"/>
  <c r="W109" i="45"/>
  <c r="V109" i="45"/>
  <c r="U109" i="45"/>
  <c r="T109" i="45"/>
  <c r="S109" i="45"/>
  <c r="Q109" i="45"/>
  <c r="O109" i="45"/>
  <c r="M109" i="45"/>
  <c r="K109" i="45"/>
  <c r="X108" i="45"/>
  <c r="W108" i="45"/>
  <c r="V108" i="45"/>
  <c r="U108" i="45"/>
  <c r="T108" i="45"/>
  <c r="S108" i="45"/>
  <c r="Q108" i="45"/>
  <c r="O108" i="45"/>
  <c r="M108" i="45"/>
  <c r="K108" i="45"/>
  <c r="X107" i="45"/>
  <c r="W107" i="45"/>
  <c r="V107" i="45"/>
  <c r="U107" i="45"/>
  <c r="T107" i="45"/>
  <c r="S107" i="45"/>
  <c r="Q107" i="45"/>
  <c r="O107" i="45"/>
  <c r="M107" i="45"/>
  <c r="K107" i="45"/>
  <c r="X106" i="45"/>
  <c r="W106" i="45"/>
  <c r="V106" i="45"/>
  <c r="U106" i="45"/>
  <c r="T106" i="45"/>
  <c r="S106" i="45"/>
  <c r="Q106" i="45"/>
  <c r="O106" i="45"/>
  <c r="M106" i="45"/>
  <c r="K106" i="45"/>
  <c r="X105" i="45"/>
  <c r="W105" i="45"/>
  <c r="V105" i="45"/>
  <c r="U105" i="45"/>
  <c r="T105" i="45"/>
  <c r="S105" i="45"/>
  <c r="Q105" i="45"/>
  <c r="O105" i="45"/>
  <c r="M105" i="45"/>
  <c r="K105" i="45"/>
  <c r="X104" i="45"/>
  <c r="W104" i="45"/>
  <c r="V104" i="45"/>
  <c r="U104" i="45"/>
  <c r="T104" i="45"/>
  <c r="S104" i="45"/>
  <c r="Q104" i="45"/>
  <c r="O104" i="45"/>
  <c r="M104" i="45"/>
  <c r="K104" i="45"/>
  <c r="X103" i="45"/>
  <c r="W103" i="45"/>
  <c r="V103" i="45"/>
  <c r="U103" i="45"/>
  <c r="T103" i="45"/>
  <c r="S103" i="45"/>
  <c r="Q103" i="45"/>
  <c r="O103" i="45"/>
  <c r="M103" i="45"/>
  <c r="K103" i="45"/>
  <c r="X102" i="45"/>
  <c r="W102" i="45"/>
  <c r="V102" i="45"/>
  <c r="U102" i="45"/>
  <c r="T102" i="45"/>
  <c r="S102" i="45"/>
  <c r="Q102" i="45"/>
  <c r="O102" i="45"/>
  <c r="M102" i="45"/>
  <c r="K102" i="45"/>
  <c r="X101" i="45"/>
  <c r="W101" i="45"/>
  <c r="V101" i="45"/>
  <c r="U101" i="45"/>
  <c r="T101" i="45"/>
  <c r="S101" i="45"/>
  <c r="Q101" i="45"/>
  <c r="O101" i="45"/>
  <c r="M101" i="45"/>
  <c r="K101" i="45"/>
  <c r="X100" i="45"/>
  <c r="W100" i="45"/>
  <c r="V100" i="45"/>
  <c r="U100" i="45"/>
  <c r="T100" i="45"/>
  <c r="S100" i="45"/>
  <c r="Q100" i="45"/>
  <c r="O100" i="45"/>
  <c r="M100" i="45"/>
  <c r="K100" i="45"/>
  <c r="X99" i="45"/>
  <c r="W99" i="45"/>
  <c r="V99" i="45"/>
  <c r="U99" i="45"/>
  <c r="T99" i="45"/>
  <c r="S99" i="45"/>
  <c r="Q99" i="45"/>
  <c r="O99" i="45"/>
  <c r="M99" i="45"/>
  <c r="K99" i="45"/>
  <c r="X98" i="45"/>
  <c r="W98" i="45"/>
  <c r="V98" i="45"/>
  <c r="U98" i="45"/>
  <c r="T98" i="45"/>
  <c r="S98" i="45"/>
  <c r="Q98" i="45"/>
  <c r="O98" i="45"/>
  <c r="M98" i="45"/>
  <c r="K98" i="45"/>
  <c r="X97" i="45"/>
  <c r="W97" i="45"/>
  <c r="V97" i="45"/>
  <c r="U97" i="45"/>
  <c r="T97" i="45"/>
  <c r="S97" i="45"/>
  <c r="Q97" i="45"/>
  <c r="O97" i="45"/>
  <c r="M97" i="45"/>
  <c r="K97" i="45"/>
  <c r="X96" i="45"/>
  <c r="W96" i="45"/>
  <c r="V96" i="45"/>
  <c r="U96" i="45"/>
  <c r="T96" i="45"/>
  <c r="S96" i="45"/>
  <c r="Q96" i="45"/>
  <c r="O96" i="45"/>
  <c r="M96" i="45"/>
  <c r="K96" i="45"/>
  <c r="X95" i="45"/>
  <c r="W95" i="45"/>
  <c r="V95" i="45"/>
  <c r="U95" i="45"/>
  <c r="T95" i="45"/>
  <c r="S95" i="45"/>
  <c r="Q95" i="45"/>
  <c r="O95" i="45"/>
  <c r="M95" i="45"/>
  <c r="K95" i="45"/>
  <c r="X94" i="45"/>
  <c r="W94" i="45"/>
  <c r="V94" i="45"/>
  <c r="U94" i="45"/>
  <c r="T94" i="45"/>
  <c r="S94" i="45"/>
  <c r="Q94" i="45"/>
  <c r="O94" i="45"/>
  <c r="M94" i="45"/>
  <c r="K94" i="45"/>
  <c r="X93" i="45"/>
  <c r="W93" i="45"/>
  <c r="V93" i="45"/>
  <c r="U93" i="45"/>
  <c r="T93" i="45"/>
  <c r="S93" i="45"/>
  <c r="Q93" i="45"/>
  <c r="O93" i="45"/>
  <c r="M93" i="45"/>
  <c r="K93" i="45"/>
  <c r="X92" i="45"/>
  <c r="W92" i="45"/>
  <c r="V92" i="45"/>
  <c r="U92" i="45"/>
  <c r="T92" i="45"/>
  <c r="S92" i="45"/>
  <c r="Q92" i="45"/>
  <c r="O92" i="45"/>
  <c r="M92" i="45"/>
  <c r="K92" i="45"/>
  <c r="X91" i="45"/>
  <c r="W91" i="45"/>
  <c r="V91" i="45"/>
  <c r="U91" i="45"/>
  <c r="T91" i="45"/>
  <c r="S91" i="45"/>
  <c r="Q91" i="45"/>
  <c r="O91" i="45"/>
  <c r="M91" i="45"/>
  <c r="K91" i="45"/>
  <c r="X90" i="45"/>
  <c r="W90" i="45"/>
  <c r="V90" i="45"/>
  <c r="U90" i="45"/>
  <c r="T90" i="45"/>
  <c r="S90" i="45"/>
  <c r="Q90" i="45"/>
  <c r="O90" i="45"/>
  <c r="M90" i="45"/>
  <c r="K90" i="45"/>
  <c r="X89" i="45"/>
  <c r="W89" i="45"/>
  <c r="V89" i="45"/>
  <c r="U89" i="45"/>
  <c r="T89" i="45"/>
  <c r="S89" i="45"/>
  <c r="Q89" i="45"/>
  <c r="O89" i="45"/>
  <c r="M89" i="45"/>
  <c r="K89" i="45"/>
  <c r="X88" i="45"/>
  <c r="W88" i="45"/>
  <c r="V88" i="45"/>
  <c r="U88" i="45"/>
  <c r="T88" i="45"/>
  <c r="S88" i="45"/>
  <c r="Q88" i="45"/>
  <c r="O88" i="45"/>
  <c r="M88" i="45"/>
  <c r="K88" i="45"/>
  <c r="X87" i="45"/>
  <c r="W87" i="45"/>
  <c r="V87" i="45"/>
  <c r="U87" i="45"/>
  <c r="T87" i="45"/>
  <c r="S87" i="45"/>
  <c r="Q87" i="45"/>
  <c r="O87" i="45"/>
  <c r="M87" i="45"/>
  <c r="K87" i="45"/>
  <c r="X86" i="45"/>
  <c r="W86" i="45"/>
  <c r="V86" i="45"/>
  <c r="U86" i="45"/>
  <c r="T86" i="45"/>
  <c r="S86" i="45"/>
  <c r="Q86" i="45"/>
  <c r="O86" i="45"/>
  <c r="M86" i="45"/>
  <c r="K86" i="45"/>
  <c r="X85" i="45"/>
  <c r="W85" i="45"/>
  <c r="V85" i="45"/>
  <c r="U85" i="45"/>
  <c r="T85" i="45"/>
  <c r="S85" i="45"/>
  <c r="Q85" i="45"/>
  <c r="O85" i="45"/>
  <c r="M85" i="45"/>
  <c r="K85" i="45"/>
  <c r="X84" i="45"/>
  <c r="W84" i="45"/>
  <c r="V84" i="45"/>
  <c r="U84" i="45"/>
  <c r="T84" i="45"/>
  <c r="S84" i="45"/>
  <c r="Q84" i="45"/>
  <c r="O84" i="45"/>
  <c r="M84" i="45"/>
  <c r="K84" i="45"/>
  <c r="X83" i="45"/>
  <c r="W83" i="45"/>
  <c r="V83" i="45"/>
  <c r="U83" i="45"/>
  <c r="T83" i="45"/>
  <c r="S83" i="45"/>
  <c r="Q83" i="45"/>
  <c r="O83" i="45"/>
  <c r="M83" i="45"/>
  <c r="K83" i="45"/>
  <c r="X82" i="45"/>
  <c r="W82" i="45"/>
  <c r="V82" i="45"/>
  <c r="U82" i="45"/>
  <c r="T82" i="45"/>
  <c r="S82" i="45"/>
  <c r="Q82" i="45"/>
  <c r="O82" i="45"/>
  <c r="M82" i="45"/>
  <c r="K82" i="45"/>
  <c r="X81" i="45"/>
  <c r="W81" i="45"/>
  <c r="V81" i="45"/>
  <c r="U81" i="45"/>
  <c r="T81" i="45"/>
  <c r="S81" i="45"/>
  <c r="Q81" i="45"/>
  <c r="O81" i="45"/>
  <c r="M81" i="45"/>
  <c r="K81" i="45"/>
  <c r="X80" i="45"/>
  <c r="W80" i="45"/>
  <c r="V80" i="45"/>
  <c r="U80" i="45"/>
  <c r="T80" i="45"/>
  <c r="S80" i="45"/>
  <c r="Q80" i="45"/>
  <c r="O80" i="45"/>
  <c r="M80" i="45"/>
  <c r="K80" i="45"/>
  <c r="X79" i="45"/>
  <c r="W79" i="45"/>
  <c r="V79" i="45"/>
  <c r="U79" i="45"/>
  <c r="T79" i="45"/>
  <c r="S79" i="45"/>
  <c r="Q79" i="45"/>
  <c r="O79" i="45"/>
  <c r="M79" i="45"/>
  <c r="K79" i="45"/>
  <c r="X78" i="45"/>
  <c r="W78" i="45"/>
  <c r="V78" i="45"/>
  <c r="U78" i="45"/>
  <c r="T78" i="45"/>
  <c r="S78" i="45"/>
  <c r="Q78" i="45"/>
  <c r="O78" i="45"/>
  <c r="M78" i="45"/>
  <c r="K78" i="45"/>
  <c r="X77" i="45"/>
  <c r="W77" i="45"/>
  <c r="V77" i="45"/>
  <c r="U77" i="45"/>
  <c r="T77" i="45"/>
  <c r="S77" i="45"/>
  <c r="Q77" i="45"/>
  <c r="O77" i="45"/>
  <c r="M77" i="45"/>
  <c r="K77" i="45"/>
  <c r="X76" i="45"/>
  <c r="W76" i="45"/>
  <c r="V76" i="45"/>
  <c r="U76" i="45"/>
  <c r="T76" i="45"/>
  <c r="S76" i="45"/>
  <c r="Q76" i="45"/>
  <c r="O76" i="45"/>
  <c r="M76" i="45"/>
  <c r="K76" i="45"/>
  <c r="X75" i="45"/>
  <c r="W75" i="45"/>
  <c r="V75" i="45"/>
  <c r="U75" i="45"/>
  <c r="T75" i="45"/>
  <c r="S75" i="45"/>
  <c r="Q75" i="45"/>
  <c r="O75" i="45"/>
  <c r="M75" i="45"/>
  <c r="K75" i="45"/>
  <c r="X74" i="45"/>
  <c r="W74" i="45"/>
  <c r="V74" i="45"/>
  <c r="U74" i="45"/>
  <c r="T74" i="45"/>
  <c r="S74" i="45"/>
  <c r="Q74" i="45"/>
  <c r="O74" i="45"/>
  <c r="M74" i="45"/>
  <c r="K74" i="45"/>
  <c r="X73" i="45"/>
  <c r="W73" i="45"/>
  <c r="V73" i="45"/>
  <c r="U73" i="45"/>
  <c r="T73" i="45"/>
  <c r="S73" i="45"/>
  <c r="Q73" i="45"/>
  <c r="O73" i="45"/>
  <c r="M73" i="45"/>
  <c r="K73" i="45"/>
  <c r="X72" i="45"/>
  <c r="W72" i="45"/>
  <c r="V72" i="45"/>
  <c r="U72" i="45"/>
  <c r="T72" i="45"/>
  <c r="S72" i="45"/>
  <c r="Q72" i="45"/>
  <c r="O72" i="45"/>
  <c r="M72" i="45"/>
  <c r="K72" i="45"/>
  <c r="X71" i="45"/>
  <c r="W71" i="45"/>
  <c r="V71" i="45"/>
  <c r="U71" i="45"/>
  <c r="T71" i="45"/>
  <c r="S71" i="45"/>
  <c r="Q71" i="45"/>
  <c r="O71" i="45"/>
  <c r="M71" i="45"/>
  <c r="K71" i="45"/>
  <c r="X70" i="45"/>
  <c r="W70" i="45"/>
  <c r="V70" i="45"/>
  <c r="U70" i="45"/>
  <c r="T70" i="45"/>
  <c r="S70" i="45"/>
  <c r="Q70" i="45"/>
  <c r="O70" i="45"/>
  <c r="M70" i="45"/>
  <c r="K70" i="45"/>
  <c r="X69" i="45"/>
  <c r="W69" i="45"/>
  <c r="V69" i="45"/>
  <c r="U69" i="45"/>
  <c r="T69" i="45"/>
  <c r="S69" i="45"/>
  <c r="Q69" i="45"/>
  <c r="O69" i="45"/>
  <c r="M69" i="45"/>
  <c r="K69" i="45"/>
  <c r="X68" i="45"/>
  <c r="W68" i="45"/>
  <c r="V68" i="45"/>
  <c r="U68" i="45"/>
  <c r="T68" i="45"/>
  <c r="S68" i="45"/>
  <c r="Q68" i="45"/>
  <c r="O68" i="45"/>
  <c r="M68" i="45"/>
  <c r="K68" i="45"/>
  <c r="X67" i="45"/>
  <c r="W67" i="45"/>
  <c r="V67" i="45"/>
  <c r="U67" i="45"/>
  <c r="T67" i="45"/>
  <c r="S67" i="45"/>
  <c r="Q67" i="45"/>
  <c r="O67" i="45"/>
  <c r="M67" i="45"/>
  <c r="K67" i="45"/>
  <c r="X66" i="45"/>
  <c r="W66" i="45"/>
  <c r="V66" i="45"/>
  <c r="U66" i="45"/>
  <c r="T66" i="45"/>
  <c r="S66" i="45"/>
  <c r="Q66" i="45"/>
  <c r="O66" i="45"/>
  <c r="M66" i="45"/>
  <c r="K66" i="45"/>
  <c r="X65" i="45"/>
  <c r="W65" i="45"/>
  <c r="V65" i="45"/>
  <c r="U65" i="45"/>
  <c r="T65" i="45"/>
  <c r="S65" i="45"/>
  <c r="Q65" i="45"/>
  <c r="O65" i="45"/>
  <c r="M65" i="45"/>
  <c r="K65" i="45"/>
  <c r="X64" i="45"/>
  <c r="W64" i="45"/>
  <c r="V64" i="45"/>
  <c r="U64" i="45"/>
  <c r="T64" i="45"/>
  <c r="S64" i="45"/>
  <c r="Q64" i="45"/>
  <c r="O64" i="45"/>
  <c r="M64" i="45"/>
  <c r="K64" i="45"/>
  <c r="X63" i="45"/>
  <c r="W63" i="45"/>
  <c r="V63" i="45"/>
  <c r="U63" i="45"/>
  <c r="T63" i="45"/>
  <c r="S63" i="45"/>
  <c r="Q63" i="45"/>
  <c r="O63" i="45"/>
  <c r="M63" i="45"/>
  <c r="K63" i="45"/>
  <c r="X62" i="45"/>
  <c r="W62" i="45"/>
  <c r="V62" i="45"/>
  <c r="U62" i="45"/>
  <c r="T62" i="45"/>
  <c r="S62" i="45"/>
  <c r="Q62" i="45"/>
  <c r="O62" i="45"/>
  <c r="M62" i="45"/>
  <c r="K62" i="45"/>
  <c r="X61" i="45"/>
  <c r="W61" i="45"/>
  <c r="V61" i="45"/>
  <c r="U61" i="45"/>
  <c r="T61" i="45"/>
  <c r="S61" i="45"/>
  <c r="Q61" i="45"/>
  <c r="O61" i="45"/>
  <c r="M61" i="45"/>
  <c r="K61" i="45"/>
  <c r="X60" i="45"/>
  <c r="W60" i="45"/>
  <c r="V60" i="45"/>
  <c r="U60" i="45"/>
  <c r="T60" i="45"/>
  <c r="S60" i="45"/>
  <c r="Q60" i="45"/>
  <c r="O60" i="45"/>
  <c r="M60" i="45"/>
  <c r="K60" i="45"/>
  <c r="X59" i="45"/>
  <c r="W59" i="45"/>
  <c r="V59" i="45"/>
  <c r="U59" i="45"/>
  <c r="T59" i="45"/>
  <c r="S59" i="45"/>
  <c r="Q59" i="45"/>
  <c r="O59" i="45"/>
  <c r="M59" i="45"/>
  <c r="K59" i="45"/>
  <c r="X58" i="45"/>
  <c r="W58" i="45"/>
  <c r="V58" i="45"/>
  <c r="U58" i="45"/>
  <c r="T58" i="45"/>
  <c r="S58" i="45"/>
  <c r="Q58" i="45"/>
  <c r="O58" i="45"/>
  <c r="M58" i="45"/>
  <c r="K58" i="45"/>
  <c r="X57" i="45"/>
  <c r="W57" i="45"/>
  <c r="V57" i="45"/>
  <c r="U57" i="45"/>
  <c r="T57" i="45"/>
  <c r="S57" i="45"/>
  <c r="Q57" i="45"/>
  <c r="O57" i="45"/>
  <c r="M57" i="45"/>
  <c r="K57" i="45"/>
  <c r="X56" i="45"/>
  <c r="W56" i="45"/>
  <c r="V56" i="45"/>
  <c r="U56" i="45"/>
  <c r="T56" i="45"/>
  <c r="S56" i="45"/>
  <c r="Q56" i="45"/>
  <c r="O56" i="45"/>
  <c r="M56" i="45"/>
  <c r="K56" i="45"/>
  <c r="X55" i="45"/>
  <c r="W55" i="45"/>
  <c r="V55" i="45"/>
  <c r="U55" i="45"/>
  <c r="T55" i="45"/>
  <c r="S55" i="45"/>
  <c r="Q55" i="45"/>
  <c r="O55" i="45"/>
  <c r="M55" i="45"/>
  <c r="K55" i="45"/>
  <c r="X54" i="45"/>
  <c r="W54" i="45"/>
  <c r="V54" i="45"/>
  <c r="U54" i="45"/>
  <c r="T54" i="45"/>
  <c r="S54" i="45"/>
  <c r="Q54" i="45"/>
  <c r="O54" i="45"/>
  <c r="M54" i="45"/>
  <c r="K54" i="45"/>
  <c r="X53" i="45"/>
  <c r="W53" i="45"/>
  <c r="V53" i="45"/>
  <c r="U53" i="45"/>
  <c r="T53" i="45"/>
  <c r="S53" i="45"/>
  <c r="Q53" i="45"/>
  <c r="O53" i="45"/>
  <c r="M53" i="45"/>
  <c r="K53" i="45"/>
  <c r="X52" i="45"/>
  <c r="W52" i="45"/>
  <c r="V52" i="45"/>
  <c r="U52" i="45"/>
  <c r="T52" i="45"/>
  <c r="S52" i="45"/>
  <c r="Q52" i="45"/>
  <c r="O52" i="45"/>
  <c r="M52" i="45"/>
  <c r="K52" i="45"/>
  <c r="X51" i="45"/>
  <c r="W51" i="45"/>
  <c r="V51" i="45"/>
  <c r="U51" i="45"/>
  <c r="T51" i="45"/>
  <c r="S51" i="45"/>
  <c r="Q51" i="45"/>
  <c r="O51" i="45"/>
  <c r="M51" i="45"/>
  <c r="K51" i="45"/>
  <c r="X50" i="45"/>
  <c r="W50" i="45"/>
  <c r="V50" i="45"/>
  <c r="U50" i="45"/>
  <c r="T50" i="45"/>
  <c r="S50" i="45"/>
  <c r="Q50" i="45"/>
  <c r="O50" i="45"/>
  <c r="M50" i="45"/>
  <c r="K50" i="45"/>
  <c r="X49" i="45"/>
  <c r="W49" i="45"/>
  <c r="V49" i="45"/>
  <c r="U49" i="45"/>
  <c r="T49" i="45"/>
  <c r="S49" i="45"/>
  <c r="Q49" i="45"/>
  <c r="O49" i="45"/>
  <c r="M49" i="45"/>
  <c r="K49" i="45"/>
  <c r="X48" i="45"/>
  <c r="W48" i="45"/>
  <c r="V48" i="45"/>
  <c r="U48" i="45"/>
  <c r="T48" i="45"/>
  <c r="S48" i="45"/>
  <c r="Q48" i="45"/>
  <c r="O48" i="45"/>
  <c r="M48" i="45"/>
  <c r="K48" i="45"/>
  <c r="X47" i="45"/>
  <c r="W47" i="45"/>
  <c r="V47" i="45"/>
  <c r="U47" i="45"/>
  <c r="T47" i="45"/>
  <c r="S47" i="45"/>
  <c r="Q47" i="45"/>
  <c r="O47" i="45"/>
  <c r="M47" i="45"/>
  <c r="K47" i="45"/>
  <c r="X46" i="45"/>
  <c r="W46" i="45"/>
  <c r="V46" i="45"/>
  <c r="U46" i="45"/>
  <c r="T46" i="45"/>
  <c r="S46" i="45"/>
  <c r="Q46" i="45"/>
  <c r="O46" i="45"/>
  <c r="M46" i="45"/>
  <c r="K46" i="45"/>
  <c r="X45" i="45"/>
  <c r="W45" i="45"/>
  <c r="V45" i="45"/>
  <c r="U45" i="45"/>
  <c r="T45" i="45"/>
  <c r="S45" i="45"/>
  <c r="Q45" i="45"/>
  <c r="O45" i="45"/>
  <c r="M45" i="45"/>
  <c r="K45" i="45"/>
  <c r="X44" i="45"/>
  <c r="W44" i="45"/>
  <c r="V44" i="45"/>
  <c r="U44" i="45"/>
  <c r="T44" i="45"/>
  <c r="S44" i="45"/>
  <c r="Q44" i="45"/>
  <c r="O44" i="45"/>
  <c r="M44" i="45"/>
  <c r="K44" i="45"/>
  <c r="X43" i="45"/>
  <c r="W43" i="45"/>
  <c r="V43" i="45"/>
  <c r="U43" i="45"/>
  <c r="T43" i="45"/>
  <c r="S43" i="45"/>
  <c r="Q43" i="45"/>
  <c r="O43" i="45"/>
  <c r="M43" i="45"/>
  <c r="K43" i="45"/>
  <c r="X42" i="45"/>
  <c r="W42" i="45"/>
  <c r="V42" i="45"/>
  <c r="U42" i="45"/>
  <c r="T42" i="45"/>
  <c r="S42" i="45"/>
  <c r="Q42" i="45"/>
  <c r="O42" i="45"/>
  <c r="M42" i="45"/>
  <c r="K42" i="45"/>
  <c r="X41" i="45"/>
  <c r="W41" i="45"/>
  <c r="V41" i="45"/>
  <c r="U41" i="45"/>
  <c r="T41" i="45"/>
  <c r="S41" i="45"/>
  <c r="Q41" i="45"/>
  <c r="O41" i="45"/>
  <c r="M41" i="45"/>
  <c r="K41" i="45"/>
  <c r="X40" i="45"/>
  <c r="W40" i="45"/>
  <c r="V40" i="45"/>
  <c r="U40" i="45"/>
  <c r="T40" i="45"/>
  <c r="S40" i="45"/>
  <c r="Q40" i="45"/>
  <c r="O40" i="45"/>
  <c r="M40" i="45"/>
  <c r="K40" i="45"/>
  <c r="X39" i="45"/>
  <c r="W39" i="45"/>
  <c r="V39" i="45"/>
  <c r="U39" i="45"/>
  <c r="T39" i="45"/>
  <c r="S39" i="45"/>
  <c r="Q39" i="45"/>
  <c r="O39" i="45"/>
  <c r="M39" i="45"/>
  <c r="K39" i="45"/>
  <c r="X38" i="45"/>
  <c r="W38" i="45"/>
  <c r="V38" i="45"/>
  <c r="U38" i="45"/>
  <c r="T38" i="45"/>
  <c r="S38" i="45"/>
  <c r="Q38" i="45"/>
  <c r="O38" i="45"/>
  <c r="M38" i="45"/>
  <c r="K38" i="45"/>
  <c r="X37" i="45"/>
  <c r="W37" i="45"/>
  <c r="V37" i="45"/>
  <c r="U37" i="45"/>
  <c r="T37" i="45"/>
  <c r="S37" i="45"/>
  <c r="Q37" i="45"/>
  <c r="O37" i="45"/>
  <c r="M37" i="45"/>
  <c r="K37" i="45"/>
  <c r="X36" i="45"/>
  <c r="W36" i="45"/>
  <c r="V36" i="45"/>
  <c r="U36" i="45"/>
  <c r="T36" i="45"/>
  <c r="S36" i="45"/>
  <c r="Q36" i="45"/>
  <c r="O36" i="45"/>
  <c r="M36" i="45"/>
  <c r="K36" i="45"/>
  <c r="X35" i="45"/>
  <c r="W35" i="45"/>
  <c r="V35" i="45"/>
  <c r="U35" i="45"/>
  <c r="T35" i="45"/>
  <c r="S35" i="45"/>
  <c r="Q35" i="45"/>
  <c r="O35" i="45"/>
  <c r="M35" i="45"/>
  <c r="K35" i="45"/>
  <c r="X34" i="45"/>
  <c r="W34" i="45"/>
  <c r="V34" i="45"/>
  <c r="U34" i="45"/>
  <c r="T34" i="45"/>
  <c r="S34" i="45"/>
  <c r="Q34" i="45"/>
  <c r="O34" i="45"/>
  <c r="M34" i="45"/>
  <c r="K34" i="45"/>
  <c r="X33" i="45"/>
  <c r="W33" i="45"/>
  <c r="V33" i="45"/>
  <c r="U33" i="45"/>
  <c r="T33" i="45"/>
  <c r="S33" i="45"/>
  <c r="Q33" i="45"/>
  <c r="O33" i="45"/>
  <c r="M33" i="45"/>
  <c r="K33" i="45"/>
  <c r="X32" i="45"/>
  <c r="W32" i="45"/>
  <c r="V32" i="45"/>
  <c r="U32" i="45"/>
  <c r="T32" i="45"/>
  <c r="S32" i="45"/>
  <c r="Q32" i="45"/>
  <c r="O32" i="45"/>
  <c r="M32" i="45"/>
  <c r="K32" i="45"/>
  <c r="X31" i="45"/>
  <c r="W31" i="45"/>
  <c r="V31" i="45"/>
  <c r="U31" i="45"/>
  <c r="T31" i="45"/>
  <c r="S31" i="45"/>
  <c r="Q31" i="45"/>
  <c r="O31" i="45"/>
  <c r="M31" i="45"/>
  <c r="K31" i="45"/>
  <c r="X30" i="45"/>
  <c r="W30" i="45"/>
  <c r="V30" i="45"/>
  <c r="U30" i="45"/>
  <c r="T30" i="45"/>
  <c r="S30" i="45"/>
  <c r="Q30" i="45"/>
  <c r="O30" i="45"/>
  <c r="M30" i="45"/>
  <c r="K30" i="45"/>
  <c r="X29" i="45"/>
  <c r="W29" i="45"/>
  <c r="V29" i="45"/>
  <c r="U29" i="45"/>
  <c r="T29" i="45"/>
  <c r="S29" i="45"/>
  <c r="Q29" i="45"/>
  <c r="O29" i="45"/>
  <c r="M29" i="45"/>
  <c r="K29" i="45"/>
  <c r="X28" i="45"/>
  <c r="W28" i="45"/>
  <c r="V28" i="45"/>
  <c r="U28" i="45"/>
  <c r="T28" i="45"/>
  <c r="S28" i="45"/>
  <c r="Q28" i="45"/>
  <c r="O28" i="45"/>
  <c r="M28" i="45"/>
  <c r="K28" i="45"/>
  <c r="X27" i="45"/>
  <c r="W27" i="45"/>
  <c r="V27" i="45"/>
  <c r="U27" i="45"/>
  <c r="T27" i="45"/>
  <c r="S27" i="45"/>
  <c r="Q27" i="45"/>
  <c r="O27" i="45"/>
  <c r="M27" i="45"/>
  <c r="K27" i="45"/>
  <c r="X26" i="45"/>
  <c r="W26" i="45"/>
  <c r="V26" i="45"/>
  <c r="U26" i="45"/>
  <c r="T26" i="45"/>
  <c r="S26" i="45"/>
  <c r="Q26" i="45"/>
  <c r="O26" i="45"/>
  <c r="M26" i="45"/>
  <c r="K26" i="45"/>
  <c r="X25" i="45"/>
  <c r="W25" i="45"/>
  <c r="V25" i="45"/>
  <c r="U25" i="45"/>
  <c r="T25" i="45"/>
  <c r="S25" i="45"/>
  <c r="Q25" i="45"/>
  <c r="O25" i="45"/>
  <c r="M25" i="45"/>
  <c r="K25" i="45"/>
  <c r="X24" i="45"/>
  <c r="W24" i="45"/>
  <c r="V24" i="45"/>
  <c r="U24" i="45"/>
  <c r="T24" i="45"/>
  <c r="S24" i="45"/>
  <c r="Q24" i="45"/>
  <c r="O24" i="45"/>
  <c r="M24" i="45"/>
  <c r="K24" i="45"/>
  <c r="X23" i="45"/>
  <c r="W23" i="45"/>
  <c r="V23" i="45"/>
  <c r="U23" i="45"/>
  <c r="T23" i="45"/>
  <c r="S23" i="45"/>
  <c r="Q23" i="45"/>
  <c r="O23" i="45"/>
  <c r="M23" i="45"/>
  <c r="K23" i="45"/>
  <c r="X22" i="45"/>
  <c r="W22" i="45"/>
  <c r="V22" i="45"/>
  <c r="U22" i="45"/>
  <c r="T22" i="45"/>
  <c r="S22" i="45"/>
  <c r="Q22" i="45"/>
  <c r="O22" i="45"/>
  <c r="M22" i="45"/>
  <c r="K22" i="45"/>
  <c r="X21" i="45"/>
  <c r="W21" i="45"/>
  <c r="V21" i="45"/>
  <c r="U21" i="45"/>
  <c r="T21" i="45"/>
  <c r="S21" i="45"/>
  <c r="Q21" i="45"/>
  <c r="O21" i="45"/>
  <c r="M21" i="45"/>
  <c r="K21" i="45"/>
  <c r="X20" i="45"/>
  <c r="W20" i="45"/>
  <c r="V20" i="45"/>
  <c r="U20" i="45"/>
  <c r="T20" i="45"/>
  <c r="S20" i="45"/>
  <c r="Q20" i="45"/>
  <c r="O20" i="45"/>
  <c r="M20" i="45"/>
  <c r="K20" i="45"/>
  <c r="X19" i="45"/>
  <c r="W19" i="45"/>
  <c r="V19" i="45"/>
  <c r="U19" i="45"/>
  <c r="T19" i="45"/>
  <c r="S19" i="45"/>
  <c r="Q19" i="45"/>
  <c r="O19" i="45"/>
  <c r="M19" i="45"/>
  <c r="K19" i="45"/>
  <c r="X18" i="45"/>
  <c r="W18" i="45"/>
  <c r="V18" i="45"/>
  <c r="U18" i="45"/>
  <c r="T18" i="45"/>
  <c r="S18" i="45"/>
  <c r="Q18" i="45"/>
  <c r="O18" i="45"/>
  <c r="M18" i="45"/>
  <c r="K18" i="45"/>
  <c r="X17" i="45"/>
  <c r="W17" i="45"/>
  <c r="V17" i="45"/>
  <c r="U17" i="45"/>
  <c r="T17" i="45"/>
  <c r="S17" i="45"/>
  <c r="Q17" i="45"/>
  <c r="O17" i="45"/>
  <c r="M17" i="45"/>
  <c r="K17" i="45"/>
  <c r="X16" i="45"/>
  <c r="W16" i="45"/>
  <c r="V16" i="45"/>
  <c r="U16" i="45"/>
  <c r="T16" i="45"/>
  <c r="S16" i="45"/>
  <c r="Q16" i="45"/>
  <c r="O16" i="45"/>
  <c r="M16" i="45"/>
  <c r="K16" i="45"/>
  <c r="X15" i="45"/>
  <c r="W15" i="45"/>
  <c r="V15" i="45"/>
  <c r="U15" i="45"/>
  <c r="T15" i="45"/>
  <c r="S15" i="45"/>
  <c r="Q15" i="45"/>
  <c r="O15" i="45"/>
  <c r="M15" i="45"/>
  <c r="K15" i="45"/>
  <c r="X14" i="45"/>
  <c r="W14" i="45"/>
  <c r="V14" i="45"/>
  <c r="U14" i="45"/>
  <c r="T14" i="45"/>
  <c r="S14" i="45"/>
  <c r="Q14" i="45"/>
  <c r="O14" i="45"/>
  <c r="M14" i="45"/>
  <c r="K14" i="45"/>
  <c r="X13" i="45"/>
  <c r="W13" i="45"/>
  <c r="V13" i="45"/>
  <c r="U13" i="45"/>
  <c r="T13" i="45"/>
  <c r="S13" i="45"/>
  <c r="Q13" i="45"/>
  <c r="O13" i="45"/>
  <c r="M13" i="45"/>
  <c r="K13" i="45"/>
  <c r="X12" i="45"/>
  <c r="W12" i="45"/>
  <c r="V12" i="45"/>
  <c r="U12" i="45"/>
  <c r="T12" i="45"/>
  <c r="S12" i="45"/>
  <c r="Q12" i="45"/>
  <c r="O12" i="45"/>
  <c r="M12" i="45"/>
  <c r="K12" i="45"/>
  <c r="X11" i="45"/>
  <c r="W11" i="45"/>
  <c r="V11" i="45"/>
  <c r="U11" i="45"/>
  <c r="T11" i="45"/>
  <c r="S11" i="45"/>
  <c r="Q11" i="45"/>
  <c r="O11" i="45"/>
  <c r="M11" i="45"/>
  <c r="K11" i="45"/>
  <c r="X10" i="45"/>
  <c r="W10" i="45"/>
  <c r="V10" i="45"/>
  <c r="U10" i="45"/>
  <c r="T10" i="45"/>
  <c r="S10" i="45"/>
  <c r="Q10" i="45"/>
  <c r="O10" i="45"/>
  <c r="M10" i="45"/>
  <c r="K10" i="45"/>
  <c r="X9" i="45"/>
  <c r="W9" i="45"/>
  <c r="V9" i="45"/>
  <c r="U9" i="45"/>
  <c r="T9" i="45"/>
  <c r="S9" i="45"/>
  <c r="Q9" i="45"/>
  <c r="O9" i="45"/>
  <c r="M9" i="45"/>
  <c r="K9" i="45"/>
  <c r="X8" i="45"/>
  <c r="W8" i="45"/>
  <c r="V8" i="45"/>
  <c r="U8" i="45"/>
  <c r="T8" i="45"/>
  <c r="S8" i="45"/>
  <c r="Q8" i="45"/>
  <c r="O8" i="45"/>
  <c r="M8" i="45"/>
  <c r="K8" i="45"/>
  <c r="X7" i="45"/>
  <c r="W7" i="45"/>
  <c r="V7" i="45"/>
  <c r="U7" i="45"/>
  <c r="T7" i="45"/>
  <c r="S7" i="45"/>
  <c r="Q7" i="45"/>
  <c r="O7" i="45"/>
  <c r="M7" i="45"/>
  <c r="K7" i="45"/>
  <c r="K7" i="44"/>
  <c r="M7" i="44"/>
  <c r="O7" i="44"/>
  <c r="Q7" i="44"/>
  <c r="S7" i="44"/>
  <c r="T7" i="44"/>
  <c r="U7" i="44"/>
  <c r="V7" i="44"/>
  <c r="W7" i="44"/>
  <c r="X7" i="44"/>
  <c r="K8" i="44"/>
  <c r="M8" i="44"/>
  <c r="O8" i="44"/>
  <c r="Q8" i="44"/>
  <c r="S8" i="44"/>
  <c r="T8" i="44"/>
  <c r="U8" i="44"/>
  <c r="V8" i="44"/>
  <c r="W8" i="44"/>
  <c r="X8" i="44"/>
  <c r="K9" i="44"/>
  <c r="M9" i="44"/>
  <c r="O9" i="44"/>
  <c r="Q9" i="44"/>
  <c r="S9" i="44"/>
  <c r="T9" i="44"/>
  <c r="U9" i="44"/>
  <c r="V9" i="44"/>
  <c r="W9" i="44"/>
  <c r="X9" i="44"/>
  <c r="K10" i="44"/>
  <c r="M10" i="44"/>
  <c r="O10" i="44"/>
  <c r="Q10" i="44"/>
  <c r="S10" i="44"/>
  <c r="T10" i="44"/>
  <c r="U10" i="44"/>
  <c r="V10" i="44"/>
  <c r="W10" i="44"/>
  <c r="X10" i="44"/>
  <c r="K11" i="44"/>
  <c r="M11" i="44"/>
  <c r="O11" i="44"/>
  <c r="Q11" i="44"/>
  <c r="S11" i="44"/>
  <c r="T11" i="44"/>
  <c r="U11" i="44"/>
  <c r="V11" i="44"/>
  <c r="W11" i="44"/>
  <c r="X11" i="44"/>
  <c r="K12" i="44"/>
  <c r="M12" i="44"/>
  <c r="O12" i="44"/>
  <c r="Q12" i="44"/>
  <c r="S12" i="44"/>
  <c r="T12" i="44"/>
  <c r="U12" i="44"/>
  <c r="V12" i="44"/>
  <c r="W12" i="44"/>
  <c r="X12" i="44"/>
  <c r="K13" i="44"/>
  <c r="M13" i="44"/>
  <c r="O13" i="44"/>
  <c r="Q13" i="44"/>
  <c r="S13" i="44"/>
  <c r="T13" i="44"/>
  <c r="U13" i="44"/>
  <c r="V13" i="44"/>
  <c r="W13" i="44"/>
  <c r="X13" i="44"/>
  <c r="K14" i="44"/>
  <c r="M14" i="44"/>
  <c r="O14" i="44"/>
  <c r="Q14" i="44"/>
  <c r="S14" i="44"/>
  <c r="T14" i="44"/>
  <c r="U14" i="44"/>
  <c r="V14" i="44"/>
  <c r="W14" i="44"/>
  <c r="X14" i="44"/>
  <c r="K15" i="44"/>
  <c r="M15" i="44"/>
  <c r="O15" i="44"/>
  <c r="Q15" i="44"/>
  <c r="S15" i="44"/>
  <c r="T15" i="44"/>
  <c r="U15" i="44"/>
  <c r="V15" i="44"/>
  <c r="W15" i="44"/>
  <c r="X15" i="44"/>
  <c r="K16" i="44"/>
  <c r="M16" i="44"/>
  <c r="O16" i="44"/>
  <c r="Q16" i="44"/>
  <c r="S16" i="44"/>
  <c r="T16" i="44"/>
  <c r="U16" i="44"/>
  <c r="V16" i="44"/>
  <c r="W16" i="44"/>
  <c r="X16" i="44"/>
  <c r="K17" i="44"/>
  <c r="M17" i="44"/>
  <c r="O17" i="44"/>
  <c r="Q17" i="44"/>
  <c r="S17" i="44"/>
  <c r="T17" i="44"/>
  <c r="U17" i="44"/>
  <c r="V17" i="44"/>
  <c r="W17" i="44"/>
  <c r="X17" i="44"/>
  <c r="K18" i="44"/>
  <c r="M18" i="44"/>
  <c r="O18" i="44"/>
  <c r="Q18" i="44"/>
  <c r="S18" i="44"/>
  <c r="T18" i="44"/>
  <c r="U18" i="44"/>
  <c r="V18" i="44"/>
  <c r="W18" i="44"/>
  <c r="X18" i="44"/>
  <c r="K19" i="44"/>
  <c r="M19" i="44"/>
  <c r="O19" i="44"/>
  <c r="Q19" i="44"/>
  <c r="S19" i="44"/>
  <c r="T19" i="44"/>
  <c r="U19" i="44"/>
  <c r="V19" i="44"/>
  <c r="W19" i="44"/>
  <c r="X19" i="44"/>
  <c r="K20" i="44"/>
  <c r="M20" i="44"/>
  <c r="O20" i="44"/>
  <c r="Q20" i="44"/>
  <c r="S20" i="44"/>
  <c r="T20" i="44"/>
  <c r="U20" i="44"/>
  <c r="V20" i="44"/>
  <c r="W20" i="44"/>
  <c r="X20" i="44"/>
  <c r="K21" i="44"/>
  <c r="M21" i="44"/>
  <c r="O21" i="44"/>
  <c r="Q21" i="44"/>
  <c r="S21" i="44"/>
  <c r="T21" i="44"/>
  <c r="U21" i="44"/>
  <c r="V21" i="44"/>
  <c r="W21" i="44"/>
  <c r="X21" i="44"/>
  <c r="K22" i="44"/>
  <c r="M22" i="44"/>
  <c r="O22" i="44"/>
  <c r="Q22" i="44"/>
  <c r="S22" i="44"/>
  <c r="T22" i="44"/>
  <c r="U22" i="44"/>
  <c r="V22" i="44"/>
  <c r="W22" i="44"/>
  <c r="X22" i="44"/>
  <c r="K23" i="44"/>
  <c r="M23" i="44"/>
  <c r="O23" i="44"/>
  <c r="Q23" i="44"/>
  <c r="S23" i="44"/>
  <c r="T23" i="44"/>
  <c r="U23" i="44"/>
  <c r="V23" i="44"/>
  <c r="W23" i="44"/>
  <c r="X23" i="44"/>
  <c r="K24" i="44"/>
  <c r="M24" i="44"/>
  <c r="O24" i="44"/>
  <c r="Q24" i="44"/>
  <c r="S24" i="44"/>
  <c r="T24" i="44"/>
  <c r="U24" i="44"/>
  <c r="V24" i="44"/>
  <c r="W24" i="44"/>
  <c r="X24" i="44"/>
  <c r="K25" i="44"/>
  <c r="M25" i="44"/>
  <c r="O25" i="44"/>
  <c r="Q25" i="44"/>
  <c r="S25" i="44"/>
  <c r="T25" i="44"/>
  <c r="U25" i="44"/>
  <c r="V25" i="44"/>
  <c r="W25" i="44"/>
  <c r="X25" i="44"/>
  <c r="K26" i="44"/>
  <c r="M26" i="44"/>
  <c r="O26" i="44"/>
  <c r="Q26" i="44"/>
  <c r="S26" i="44"/>
  <c r="T26" i="44"/>
  <c r="U26" i="44"/>
  <c r="V26" i="44"/>
  <c r="W26" i="44"/>
  <c r="X26" i="44"/>
  <c r="K27" i="44"/>
  <c r="M27" i="44"/>
  <c r="O27" i="44"/>
  <c r="Q27" i="44"/>
  <c r="S27" i="44"/>
  <c r="T27" i="44"/>
  <c r="U27" i="44"/>
  <c r="V27" i="44"/>
  <c r="W27" i="44"/>
  <c r="X27" i="44"/>
  <c r="K28" i="44"/>
  <c r="M28" i="44"/>
  <c r="O28" i="44"/>
  <c r="Q28" i="44"/>
  <c r="S28" i="44"/>
  <c r="T28" i="44"/>
  <c r="U28" i="44"/>
  <c r="V28" i="44"/>
  <c r="W28" i="44"/>
  <c r="X28" i="44"/>
  <c r="K29" i="44"/>
  <c r="M29" i="44"/>
  <c r="O29" i="44"/>
  <c r="Q29" i="44"/>
  <c r="S29" i="44"/>
  <c r="T29" i="44"/>
  <c r="U29" i="44"/>
  <c r="V29" i="44"/>
  <c r="W29" i="44"/>
  <c r="X29" i="44"/>
  <c r="K30" i="44"/>
  <c r="M30" i="44"/>
  <c r="O30" i="44"/>
  <c r="Q30" i="44"/>
  <c r="S30" i="44"/>
  <c r="T30" i="44"/>
  <c r="U30" i="44"/>
  <c r="V30" i="44"/>
  <c r="W30" i="44"/>
  <c r="X30" i="44"/>
  <c r="K31" i="44"/>
  <c r="M31" i="44"/>
  <c r="O31" i="44"/>
  <c r="Q31" i="44"/>
  <c r="S31" i="44"/>
  <c r="T31" i="44"/>
  <c r="U31" i="44"/>
  <c r="V31" i="44"/>
  <c r="W31" i="44"/>
  <c r="X31" i="44"/>
  <c r="K32" i="44"/>
  <c r="M32" i="44"/>
  <c r="O32" i="44"/>
  <c r="Q32" i="44"/>
  <c r="S32" i="44"/>
  <c r="T32" i="44"/>
  <c r="U32" i="44"/>
  <c r="V32" i="44"/>
  <c r="W32" i="44"/>
  <c r="X32" i="44"/>
  <c r="K33" i="44"/>
  <c r="M33" i="44"/>
  <c r="O33" i="44"/>
  <c r="Q33" i="44"/>
  <c r="S33" i="44"/>
  <c r="T33" i="44"/>
  <c r="U33" i="44"/>
  <c r="V33" i="44"/>
  <c r="W33" i="44"/>
  <c r="X33" i="44"/>
  <c r="K34" i="44"/>
  <c r="M34" i="44"/>
  <c r="O34" i="44"/>
  <c r="Q34" i="44"/>
  <c r="S34" i="44"/>
  <c r="T34" i="44"/>
  <c r="U34" i="44"/>
  <c r="V34" i="44"/>
  <c r="W34" i="44"/>
  <c r="X34" i="44"/>
  <c r="K35" i="44"/>
  <c r="M35" i="44"/>
  <c r="O35" i="44"/>
  <c r="Q35" i="44"/>
  <c r="S35" i="44"/>
  <c r="T35" i="44"/>
  <c r="U35" i="44"/>
  <c r="V35" i="44"/>
  <c r="W35" i="44"/>
  <c r="X35" i="44"/>
  <c r="K36" i="44"/>
  <c r="M36" i="44"/>
  <c r="O36" i="44"/>
  <c r="Q36" i="44"/>
  <c r="S36" i="44"/>
  <c r="T36" i="44"/>
  <c r="U36" i="44"/>
  <c r="V36" i="44"/>
  <c r="W36" i="44"/>
  <c r="X36" i="44"/>
  <c r="K37" i="44"/>
  <c r="M37" i="44"/>
  <c r="O37" i="44"/>
  <c r="Q37" i="44"/>
  <c r="S37" i="44"/>
  <c r="T37" i="44"/>
  <c r="U37" i="44"/>
  <c r="V37" i="44"/>
  <c r="W37" i="44"/>
  <c r="X37" i="44"/>
  <c r="K38" i="44"/>
  <c r="M38" i="44"/>
  <c r="O38" i="44"/>
  <c r="Q38" i="44"/>
  <c r="S38" i="44"/>
  <c r="T38" i="44"/>
  <c r="U38" i="44"/>
  <c r="V38" i="44"/>
  <c r="W38" i="44"/>
  <c r="X38" i="44"/>
  <c r="K39" i="44"/>
  <c r="M39" i="44"/>
  <c r="O39" i="44"/>
  <c r="Q39" i="44"/>
  <c r="S39" i="44"/>
  <c r="T39" i="44"/>
  <c r="U39" i="44"/>
  <c r="V39" i="44"/>
  <c r="W39" i="44"/>
  <c r="X39" i="44"/>
  <c r="K40" i="44"/>
  <c r="M40" i="44"/>
  <c r="O40" i="44"/>
  <c r="Q40" i="44"/>
  <c r="S40" i="44"/>
  <c r="T40" i="44"/>
  <c r="U40" i="44"/>
  <c r="V40" i="44"/>
  <c r="W40" i="44"/>
  <c r="X40" i="44"/>
  <c r="K41" i="44"/>
  <c r="M41" i="44"/>
  <c r="O41" i="44"/>
  <c r="Q41" i="44"/>
  <c r="S41" i="44"/>
  <c r="T41" i="44"/>
  <c r="U41" i="44"/>
  <c r="V41" i="44"/>
  <c r="W41" i="44"/>
  <c r="X41" i="44"/>
  <c r="K42" i="44"/>
  <c r="M42" i="44"/>
  <c r="O42" i="44"/>
  <c r="Q42" i="44"/>
  <c r="S42" i="44"/>
  <c r="T42" i="44"/>
  <c r="U42" i="44"/>
  <c r="V42" i="44"/>
  <c r="W42" i="44"/>
  <c r="X42" i="44"/>
  <c r="K43" i="44"/>
  <c r="M43" i="44"/>
  <c r="O43" i="44"/>
  <c r="Q43" i="44"/>
  <c r="S43" i="44"/>
  <c r="T43" i="44"/>
  <c r="U43" i="44"/>
  <c r="V43" i="44"/>
  <c r="W43" i="44"/>
  <c r="X43" i="44"/>
  <c r="K44" i="44"/>
  <c r="M44" i="44"/>
  <c r="O44" i="44"/>
  <c r="Q44" i="44"/>
  <c r="S44" i="44"/>
  <c r="T44" i="44"/>
  <c r="U44" i="44"/>
  <c r="V44" i="44"/>
  <c r="W44" i="44"/>
  <c r="X44" i="44"/>
  <c r="K45" i="44"/>
  <c r="M45" i="44"/>
  <c r="O45" i="44"/>
  <c r="Q45" i="44"/>
  <c r="S45" i="44"/>
  <c r="T45" i="44"/>
  <c r="U45" i="44"/>
  <c r="V45" i="44"/>
  <c r="W45" i="44"/>
  <c r="X45" i="44"/>
  <c r="K46" i="44"/>
  <c r="M46" i="44"/>
  <c r="O46" i="44"/>
  <c r="Q46" i="44"/>
  <c r="S46" i="44"/>
  <c r="T46" i="44"/>
  <c r="U46" i="44"/>
  <c r="V46" i="44"/>
  <c r="W46" i="44"/>
  <c r="X46" i="44"/>
  <c r="K47" i="44"/>
  <c r="M47" i="44"/>
  <c r="O47" i="44"/>
  <c r="Q47" i="44"/>
  <c r="S47" i="44"/>
  <c r="T47" i="44"/>
  <c r="U47" i="44"/>
  <c r="V47" i="44"/>
  <c r="W47" i="44"/>
  <c r="X47" i="44"/>
  <c r="K48" i="44"/>
  <c r="M48" i="44"/>
  <c r="O48" i="44"/>
  <c r="Q48" i="44"/>
  <c r="S48" i="44"/>
  <c r="T48" i="44"/>
  <c r="U48" i="44"/>
  <c r="V48" i="44"/>
  <c r="W48" i="44"/>
  <c r="X48" i="44"/>
  <c r="K49" i="44"/>
  <c r="M49" i="44"/>
  <c r="O49" i="44"/>
  <c r="Q49" i="44"/>
  <c r="S49" i="44"/>
  <c r="T49" i="44"/>
  <c r="U49" i="44"/>
  <c r="V49" i="44"/>
  <c r="W49" i="44"/>
  <c r="X49" i="44"/>
  <c r="K50" i="44"/>
  <c r="M50" i="44"/>
  <c r="O50" i="44"/>
  <c r="Q50" i="44"/>
  <c r="S50" i="44"/>
  <c r="T50" i="44"/>
  <c r="U50" i="44"/>
  <c r="V50" i="44"/>
  <c r="W50" i="44"/>
  <c r="X50" i="44"/>
  <c r="K51" i="44"/>
  <c r="M51" i="44"/>
  <c r="O51" i="44"/>
  <c r="Q51" i="44"/>
  <c r="S51" i="44"/>
  <c r="T51" i="44"/>
  <c r="U51" i="44"/>
  <c r="V51" i="44"/>
  <c r="W51" i="44"/>
  <c r="X51" i="44"/>
  <c r="K52" i="44"/>
  <c r="M52" i="44"/>
  <c r="O52" i="44"/>
  <c r="Q52" i="44"/>
  <c r="S52" i="44"/>
  <c r="T52" i="44"/>
  <c r="U52" i="44"/>
  <c r="V52" i="44"/>
  <c r="W52" i="44"/>
  <c r="X52" i="44"/>
  <c r="K53" i="44"/>
  <c r="M53" i="44"/>
  <c r="O53" i="44"/>
  <c r="Q53" i="44"/>
  <c r="S53" i="44"/>
  <c r="T53" i="44"/>
  <c r="U53" i="44"/>
  <c r="V53" i="44"/>
  <c r="W53" i="44"/>
  <c r="X53" i="44"/>
  <c r="K54" i="44"/>
  <c r="M54" i="44"/>
  <c r="O54" i="44"/>
  <c r="Q54" i="44"/>
  <c r="S54" i="44"/>
  <c r="T54" i="44"/>
  <c r="U54" i="44"/>
  <c r="V54" i="44"/>
  <c r="W54" i="44"/>
  <c r="X54" i="44"/>
  <c r="K55" i="44"/>
  <c r="M55" i="44"/>
  <c r="O55" i="44"/>
  <c r="Q55" i="44"/>
  <c r="S55" i="44"/>
  <c r="T55" i="44"/>
  <c r="U55" i="44"/>
  <c r="V55" i="44"/>
  <c r="W55" i="44"/>
  <c r="X55" i="44"/>
  <c r="K56" i="44"/>
  <c r="M56" i="44"/>
  <c r="O56" i="44"/>
  <c r="Q56" i="44"/>
  <c r="S56" i="44"/>
  <c r="T56" i="44"/>
  <c r="U56" i="44"/>
  <c r="V56" i="44"/>
  <c r="W56" i="44"/>
  <c r="X56" i="44"/>
  <c r="K57" i="44"/>
  <c r="M57" i="44"/>
  <c r="O57" i="44"/>
  <c r="Q57" i="44"/>
  <c r="S57" i="44"/>
  <c r="T57" i="44"/>
  <c r="U57" i="44"/>
  <c r="V57" i="44"/>
  <c r="W57" i="44"/>
  <c r="X57" i="44"/>
  <c r="K58" i="44"/>
  <c r="M58" i="44"/>
  <c r="O58" i="44"/>
  <c r="Q58" i="44"/>
  <c r="S58" i="44"/>
  <c r="T58" i="44"/>
  <c r="U58" i="44"/>
  <c r="V58" i="44"/>
  <c r="W58" i="44"/>
  <c r="X58" i="44"/>
  <c r="K59" i="44"/>
  <c r="M59" i="44"/>
  <c r="O59" i="44"/>
  <c r="Q59" i="44"/>
  <c r="S59" i="44"/>
  <c r="T59" i="44"/>
  <c r="U59" i="44"/>
  <c r="V59" i="44"/>
  <c r="W59" i="44"/>
  <c r="X59" i="44"/>
  <c r="K60" i="44"/>
  <c r="M60" i="44"/>
  <c r="O60" i="44"/>
  <c r="Q60" i="44"/>
  <c r="S60" i="44"/>
  <c r="T60" i="44"/>
  <c r="U60" i="44"/>
  <c r="V60" i="44"/>
  <c r="W60" i="44"/>
  <c r="X60" i="44"/>
  <c r="K61" i="44"/>
  <c r="M61" i="44"/>
  <c r="O61" i="44"/>
  <c r="Q61" i="44"/>
  <c r="S61" i="44"/>
  <c r="T61" i="44"/>
  <c r="U61" i="44"/>
  <c r="V61" i="44"/>
  <c r="W61" i="44"/>
  <c r="X61" i="44"/>
  <c r="K62" i="44"/>
  <c r="M62" i="44"/>
  <c r="O62" i="44"/>
  <c r="Q62" i="44"/>
  <c r="S62" i="44"/>
  <c r="T62" i="44"/>
  <c r="U62" i="44"/>
  <c r="V62" i="44"/>
  <c r="W62" i="44"/>
  <c r="X62" i="44"/>
  <c r="K63" i="44"/>
  <c r="M63" i="44"/>
  <c r="O63" i="44"/>
  <c r="Q63" i="44"/>
  <c r="S63" i="44"/>
  <c r="T63" i="44"/>
  <c r="U63" i="44"/>
  <c r="V63" i="44"/>
  <c r="W63" i="44"/>
  <c r="X63" i="44"/>
  <c r="K64" i="44"/>
  <c r="M64" i="44"/>
  <c r="O64" i="44"/>
  <c r="Q64" i="44"/>
  <c r="S64" i="44"/>
  <c r="T64" i="44"/>
  <c r="U64" i="44"/>
  <c r="V64" i="44"/>
  <c r="W64" i="44"/>
  <c r="X64" i="44"/>
  <c r="K65" i="44"/>
  <c r="M65" i="44"/>
  <c r="O65" i="44"/>
  <c r="Q65" i="44"/>
  <c r="S65" i="44"/>
  <c r="T65" i="44"/>
  <c r="U65" i="44"/>
  <c r="V65" i="44"/>
  <c r="W65" i="44"/>
  <c r="X65" i="44"/>
  <c r="K66" i="44"/>
  <c r="M66" i="44"/>
  <c r="O66" i="44"/>
  <c r="Q66" i="44"/>
  <c r="S66" i="44"/>
  <c r="T66" i="44"/>
  <c r="U66" i="44"/>
  <c r="V66" i="44"/>
  <c r="W66" i="44"/>
  <c r="X66" i="44"/>
  <c r="K67" i="44"/>
  <c r="M67" i="44"/>
  <c r="O67" i="44"/>
  <c r="Q67" i="44"/>
  <c r="S67" i="44"/>
  <c r="T67" i="44"/>
  <c r="U67" i="44"/>
  <c r="V67" i="44"/>
  <c r="W67" i="44"/>
  <c r="X67" i="44"/>
  <c r="K68" i="44"/>
  <c r="M68" i="44"/>
  <c r="O68" i="44"/>
  <c r="Q68" i="44"/>
  <c r="S68" i="44"/>
  <c r="T68" i="44"/>
  <c r="U68" i="44"/>
  <c r="V68" i="44"/>
  <c r="W68" i="44"/>
  <c r="X68" i="44"/>
  <c r="K69" i="44"/>
  <c r="M69" i="44"/>
  <c r="O69" i="44"/>
  <c r="Q69" i="44"/>
  <c r="S69" i="44"/>
  <c r="T69" i="44"/>
  <c r="U69" i="44"/>
  <c r="V69" i="44"/>
  <c r="W69" i="44"/>
  <c r="X69" i="44"/>
  <c r="K70" i="44"/>
  <c r="M70" i="44"/>
  <c r="O70" i="44"/>
  <c r="Q70" i="44"/>
  <c r="S70" i="44"/>
  <c r="T70" i="44"/>
  <c r="U70" i="44"/>
  <c r="V70" i="44"/>
  <c r="W70" i="44"/>
  <c r="X70" i="44"/>
  <c r="K71" i="44"/>
  <c r="M71" i="44"/>
  <c r="O71" i="44"/>
  <c r="Q71" i="44"/>
  <c r="S71" i="44"/>
  <c r="T71" i="44"/>
  <c r="U71" i="44"/>
  <c r="V71" i="44"/>
  <c r="W71" i="44"/>
  <c r="X71" i="44"/>
  <c r="K72" i="44"/>
  <c r="M72" i="44"/>
  <c r="O72" i="44"/>
  <c r="Q72" i="44"/>
  <c r="S72" i="44"/>
  <c r="T72" i="44"/>
  <c r="U72" i="44"/>
  <c r="V72" i="44"/>
  <c r="W72" i="44"/>
  <c r="X72" i="44"/>
  <c r="K73" i="44"/>
  <c r="M73" i="44"/>
  <c r="O73" i="44"/>
  <c r="Q73" i="44"/>
  <c r="S73" i="44"/>
  <c r="T73" i="44"/>
  <c r="U73" i="44"/>
  <c r="V73" i="44"/>
  <c r="W73" i="44"/>
  <c r="X73" i="44"/>
  <c r="K74" i="44"/>
  <c r="M74" i="44"/>
  <c r="O74" i="44"/>
  <c r="Q74" i="44"/>
  <c r="S74" i="44"/>
  <c r="T74" i="44"/>
  <c r="U74" i="44"/>
  <c r="V74" i="44"/>
  <c r="W74" i="44"/>
  <c r="X74" i="44"/>
  <c r="K75" i="44"/>
  <c r="M75" i="44"/>
  <c r="O75" i="44"/>
  <c r="Q75" i="44"/>
  <c r="S75" i="44"/>
  <c r="T75" i="44"/>
  <c r="U75" i="44"/>
  <c r="V75" i="44"/>
  <c r="W75" i="44"/>
  <c r="X75" i="44"/>
  <c r="K76" i="44"/>
  <c r="M76" i="44"/>
  <c r="O76" i="44"/>
  <c r="Q76" i="44"/>
  <c r="S76" i="44"/>
  <c r="T76" i="44"/>
  <c r="U76" i="44"/>
  <c r="V76" i="44"/>
  <c r="W76" i="44"/>
  <c r="X76" i="44"/>
  <c r="K77" i="44"/>
  <c r="M77" i="44"/>
  <c r="O77" i="44"/>
  <c r="Q77" i="44"/>
  <c r="S77" i="44"/>
  <c r="T77" i="44"/>
  <c r="U77" i="44"/>
  <c r="V77" i="44"/>
  <c r="W77" i="44"/>
  <c r="X77" i="44"/>
  <c r="K78" i="44"/>
  <c r="M78" i="44"/>
  <c r="O78" i="44"/>
  <c r="Q78" i="44"/>
  <c r="S78" i="44"/>
  <c r="T78" i="44"/>
  <c r="U78" i="44"/>
  <c r="V78" i="44"/>
  <c r="W78" i="44"/>
  <c r="X78" i="44"/>
  <c r="K79" i="44"/>
  <c r="M79" i="44"/>
  <c r="O79" i="44"/>
  <c r="Q79" i="44"/>
  <c r="S79" i="44"/>
  <c r="T79" i="44"/>
  <c r="U79" i="44"/>
  <c r="V79" i="44"/>
  <c r="W79" i="44"/>
  <c r="X79" i="44"/>
  <c r="K80" i="44"/>
  <c r="M80" i="44"/>
  <c r="O80" i="44"/>
  <c r="Q80" i="44"/>
  <c r="S80" i="44"/>
  <c r="T80" i="44"/>
  <c r="U80" i="44"/>
  <c r="V80" i="44"/>
  <c r="W80" i="44"/>
  <c r="X80" i="44"/>
  <c r="K81" i="44"/>
  <c r="M81" i="44"/>
  <c r="O81" i="44"/>
  <c r="Q81" i="44"/>
  <c r="S81" i="44"/>
  <c r="T81" i="44"/>
  <c r="U81" i="44"/>
  <c r="V81" i="44"/>
  <c r="W81" i="44"/>
  <c r="X81" i="44"/>
  <c r="K82" i="44"/>
  <c r="M82" i="44"/>
  <c r="O82" i="44"/>
  <c r="Q82" i="44"/>
  <c r="S82" i="44"/>
  <c r="T82" i="44"/>
  <c r="U82" i="44"/>
  <c r="V82" i="44"/>
  <c r="W82" i="44"/>
  <c r="X82" i="44"/>
  <c r="K83" i="44"/>
  <c r="M83" i="44"/>
  <c r="O83" i="44"/>
  <c r="Q83" i="44"/>
  <c r="S83" i="44"/>
  <c r="T83" i="44"/>
  <c r="U83" i="44"/>
  <c r="V83" i="44"/>
  <c r="W83" i="44"/>
  <c r="X83" i="44"/>
  <c r="K84" i="44"/>
  <c r="M84" i="44"/>
  <c r="O84" i="44"/>
  <c r="Q84" i="44"/>
  <c r="S84" i="44"/>
  <c r="T84" i="44"/>
  <c r="U84" i="44"/>
  <c r="V84" i="44"/>
  <c r="W84" i="44"/>
  <c r="X84" i="44"/>
  <c r="K85" i="44"/>
  <c r="M85" i="44"/>
  <c r="O85" i="44"/>
  <c r="Q85" i="44"/>
  <c r="S85" i="44"/>
  <c r="T85" i="44"/>
  <c r="U85" i="44"/>
  <c r="V85" i="44"/>
  <c r="W85" i="44"/>
  <c r="X85" i="44"/>
  <c r="K86" i="44"/>
  <c r="M86" i="44"/>
  <c r="O86" i="44"/>
  <c r="Q86" i="44"/>
  <c r="S86" i="44"/>
  <c r="T86" i="44"/>
  <c r="U86" i="44"/>
  <c r="V86" i="44"/>
  <c r="W86" i="44"/>
  <c r="X86" i="44"/>
  <c r="K87" i="44"/>
  <c r="M87" i="44"/>
  <c r="O87" i="44"/>
  <c r="Q87" i="44"/>
  <c r="S87" i="44"/>
  <c r="T87" i="44"/>
  <c r="U87" i="44"/>
  <c r="V87" i="44"/>
  <c r="W87" i="44"/>
  <c r="X87" i="44"/>
  <c r="K88" i="44"/>
  <c r="M88" i="44"/>
  <c r="O88" i="44"/>
  <c r="Q88" i="44"/>
  <c r="S88" i="44"/>
  <c r="T88" i="44"/>
  <c r="U88" i="44"/>
  <c r="V88" i="44"/>
  <c r="W88" i="44"/>
  <c r="X88" i="44"/>
  <c r="K89" i="44"/>
  <c r="M89" i="44"/>
  <c r="O89" i="44"/>
  <c r="Q89" i="44"/>
  <c r="S89" i="44"/>
  <c r="T89" i="44"/>
  <c r="U89" i="44"/>
  <c r="V89" i="44"/>
  <c r="W89" i="44"/>
  <c r="X89" i="44"/>
  <c r="K90" i="44"/>
  <c r="M90" i="44"/>
  <c r="O90" i="44"/>
  <c r="Q90" i="44"/>
  <c r="S90" i="44"/>
  <c r="T90" i="44"/>
  <c r="U90" i="44"/>
  <c r="V90" i="44"/>
  <c r="W90" i="44"/>
  <c r="X90" i="44"/>
  <c r="K91" i="44"/>
  <c r="M91" i="44"/>
  <c r="O91" i="44"/>
  <c r="Q91" i="44"/>
  <c r="S91" i="44"/>
  <c r="T91" i="44"/>
  <c r="U91" i="44"/>
  <c r="V91" i="44"/>
  <c r="W91" i="44"/>
  <c r="X91" i="44"/>
  <c r="K92" i="44"/>
  <c r="M92" i="44"/>
  <c r="O92" i="44"/>
  <c r="Q92" i="44"/>
  <c r="S92" i="44"/>
  <c r="T92" i="44"/>
  <c r="U92" i="44"/>
  <c r="V92" i="44"/>
  <c r="W92" i="44"/>
  <c r="X92" i="44"/>
  <c r="K93" i="44"/>
  <c r="M93" i="44"/>
  <c r="O93" i="44"/>
  <c r="Q93" i="44"/>
  <c r="S93" i="44"/>
  <c r="T93" i="44"/>
  <c r="U93" i="44"/>
  <c r="V93" i="44"/>
  <c r="W93" i="44"/>
  <c r="X93" i="44"/>
  <c r="K94" i="44"/>
  <c r="M94" i="44"/>
  <c r="O94" i="44"/>
  <c r="Q94" i="44"/>
  <c r="S94" i="44"/>
  <c r="T94" i="44"/>
  <c r="U94" i="44"/>
  <c r="V94" i="44"/>
  <c r="W94" i="44"/>
  <c r="X94" i="44"/>
  <c r="K95" i="44"/>
  <c r="M95" i="44"/>
  <c r="O95" i="44"/>
  <c r="Q95" i="44"/>
  <c r="S95" i="44"/>
  <c r="T95" i="44"/>
  <c r="U95" i="44"/>
  <c r="V95" i="44"/>
  <c r="W95" i="44"/>
  <c r="X95" i="44"/>
  <c r="K96" i="44"/>
  <c r="M96" i="44"/>
  <c r="O96" i="44"/>
  <c r="Q96" i="44"/>
  <c r="S96" i="44"/>
  <c r="T96" i="44"/>
  <c r="U96" i="44"/>
  <c r="V96" i="44"/>
  <c r="W96" i="44"/>
  <c r="X96" i="44"/>
  <c r="K97" i="44"/>
  <c r="M97" i="44"/>
  <c r="O97" i="44"/>
  <c r="Q97" i="44"/>
  <c r="S97" i="44"/>
  <c r="T97" i="44"/>
  <c r="U97" i="44"/>
  <c r="V97" i="44"/>
  <c r="W97" i="44"/>
  <c r="X97" i="44"/>
  <c r="K98" i="44"/>
  <c r="M98" i="44"/>
  <c r="O98" i="44"/>
  <c r="Q98" i="44"/>
  <c r="S98" i="44"/>
  <c r="T98" i="44"/>
  <c r="U98" i="44"/>
  <c r="V98" i="44"/>
  <c r="W98" i="44"/>
  <c r="X98" i="44"/>
  <c r="K99" i="44"/>
  <c r="M99" i="44"/>
  <c r="O99" i="44"/>
  <c r="Q99" i="44"/>
  <c r="S99" i="44"/>
  <c r="T99" i="44"/>
  <c r="U99" i="44"/>
  <c r="V99" i="44"/>
  <c r="W99" i="44"/>
  <c r="X99" i="44"/>
  <c r="K100" i="44"/>
  <c r="M100" i="44"/>
  <c r="O100" i="44"/>
  <c r="Q100" i="44"/>
  <c r="S100" i="44"/>
  <c r="T100" i="44"/>
  <c r="U100" i="44"/>
  <c r="V100" i="44"/>
  <c r="W100" i="44"/>
  <c r="X100" i="44"/>
  <c r="K101" i="44"/>
  <c r="M101" i="44"/>
  <c r="O101" i="44"/>
  <c r="Q101" i="44"/>
  <c r="S101" i="44"/>
  <c r="T101" i="44"/>
  <c r="U101" i="44"/>
  <c r="V101" i="44"/>
  <c r="W101" i="44"/>
  <c r="X101" i="44"/>
  <c r="K102" i="44"/>
  <c r="M102" i="44"/>
  <c r="O102" i="44"/>
  <c r="Q102" i="44"/>
  <c r="S102" i="44"/>
  <c r="T102" i="44"/>
  <c r="U102" i="44"/>
  <c r="V102" i="44"/>
  <c r="W102" i="44"/>
  <c r="X102" i="44"/>
  <c r="K103" i="44"/>
  <c r="M103" i="44"/>
  <c r="O103" i="44"/>
  <c r="Q103" i="44"/>
  <c r="S103" i="44"/>
  <c r="T103" i="44"/>
  <c r="U103" i="44"/>
  <c r="V103" i="44"/>
  <c r="W103" i="44"/>
  <c r="X103" i="44"/>
  <c r="K104" i="44"/>
  <c r="M104" i="44"/>
  <c r="O104" i="44"/>
  <c r="Q104" i="44"/>
  <c r="S104" i="44"/>
  <c r="T104" i="44"/>
  <c r="U104" i="44"/>
  <c r="V104" i="44"/>
  <c r="W104" i="44"/>
  <c r="X104" i="44"/>
  <c r="K105" i="44"/>
  <c r="M105" i="44"/>
  <c r="O105" i="44"/>
  <c r="Q105" i="44"/>
  <c r="S105" i="44"/>
  <c r="T105" i="44"/>
  <c r="U105" i="44"/>
  <c r="V105" i="44"/>
  <c r="W105" i="44"/>
  <c r="X105" i="44"/>
  <c r="K106" i="44"/>
  <c r="M106" i="44"/>
  <c r="O106" i="44"/>
  <c r="Q106" i="44"/>
  <c r="S106" i="44"/>
  <c r="T106" i="44"/>
  <c r="U106" i="44"/>
  <c r="V106" i="44"/>
  <c r="W106" i="44"/>
  <c r="X106" i="44"/>
  <c r="K107" i="44"/>
  <c r="M107" i="44"/>
  <c r="O107" i="44"/>
  <c r="Q107" i="44"/>
  <c r="S107" i="44"/>
  <c r="T107" i="44"/>
  <c r="U107" i="44"/>
  <c r="V107" i="44"/>
  <c r="W107" i="44"/>
  <c r="X107" i="44"/>
  <c r="K108" i="44"/>
  <c r="M108" i="44"/>
  <c r="O108" i="44"/>
  <c r="Q108" i="44"/>
  <c r="S108" i="44"/>
  <c r="T108" i="44"/>
  <c r="U108" i="44"/>
  <c r="V108" i="44"/>
  <c r="W108" i="44"/>
  <c r="X108" i="44"/>
  <c r="K109" i="44"/>
  <c r="M109" i="44"/>
  <c r="O109" i="44"/>
  <c r="Q109" i="44"/>
  <c r="S109" i="44"/>
  <c r="T109" i="44"/>
  <c r="U109" i="44"/>
  <c r="V109" i="44"/>
  <c r="W109" i="44"/>
  <c r="X109" i="44"/>
  <c r="K110" i="44"/>
  <c r="M110" i="44"/>
  <c r="O110" i="44"/>
  <c r="Q110" i="44"/>
  <c r="S110" i="44"/>
  <c r="T110" i="44"/>
  <c r="U110" i="44"/>
  <c r="V110" i="44"/>
  <c r="W110" i="44"/>
  <c r="X110" i="44"/>
  <c r="K111" i="44"/>
  <c r="M111" i="44"/>
  <c r="O111" i="44"/>
  <c r="Q111" i="44"/>
  <c r="S111" i="44"/>
  <c r="T111" i="44"/>
  <c r="U111" i="44"/>
  <c r="V111" i="44"/>
  <c r="W111" i="44"/>
  <c r="X111" i="44"/>
  <c r="K112" i="44"/>
  <c r="M112" i="44"/>
  <c r="O112" i="44"/>
  <c r="Q112" i="44"/>
  <c r="S112" i="44"/>
  <c r="T112" i="44"/>
  <c r="U112" i="44"/>
  <c r="V112" i="44"/>
  <c r="W112" i="44"/>
  <c r="X112" i="44"/>
  <c r="K113" i="44"/>
  <c r="M113" i="44"/>
  <c r="O113" i="44"/>
  <c r="Q113" i="44"/>
  <c r="S113" i="44"/>
  <c r="T113" i="44"/>
  <c r="U113" i="44"/>
  <c r="V113" i="44"/>
  <c r="W113" i="44"/>
  <c r="X113" i="44"/>
  <c r="K114" i="44"/>
  <c r="M114" i="44"/>
  <c r="O114" i="44"/>
  <c r="Q114" i="44"/>
  <c r="S114" i="44"/>
  <c r="T114" i="44"/>
  <c r="U114" i="44"/>
  <c r="V114" i="44"/>
  <c r="W114" i="44"/>
  <c r="X114" i="44"/>
  <c r="K115" i="44"/>
  <c r="M115" i="44"/>
  <c r="O115" i="44"/>
  <c r="Q115" i="44"/>
  <c r="S115" i="44"/>
  <c r="T115" i="44"/>
  <c r="U115" i="44"/>
  <c r="V115" i="44"/>
  <c r="W115" i="44"/>
  <c r="X115" i="44"/>
  <c r="K116" i="44"/>
  <c r="M116" i="44"/>
  <c r="O116" i="44"/>
  <c r="Q116" i="44"/>
  <c r="S116" i="44"/>
  <c r="T116" i="44"/>
  <c r="U116" i="44"/>
  <c r="V116" i="44"/>
  <c r="W116" i="44"/>
  <c r="X116" i="44"/>
  <c r="K117" i="44"/>
  <c r="M117" i="44"/>
  <c r="O117" i="44"/>
  <c r="Q117" i="44"/>
  <c r="S117" i="44"/>
  <c r="T117" i="44"/>
  <c r="U117" i="44"/>
  <c r="V117" i="44"/>
  <c r="W117" i="44"/>
  <c r="X117" i="44"/>
  <c r="K118" i="44"/>
  <c r="M118" i="44"/>
  <c r="O118" i="44"/>
  <c r="Q118" i="44"/>
  <c r="S118" i="44"/>
  <c r="T118" i="44"/>
  <c r="U118" i="44"/>
  <c r="V118" i="44"/>
  <c r="W118" i="44"/>
  <c r="X118" i="44"/>
  <c r="K119" i="44"/>
  <c r="M119" i="44"/>
  <c r="O119" i="44"/>
  <c r="Q119" i="44"/>
  <c r="S119" i="44"/>
  <c r="T119" i="44"/>
  <c r="U119" i="44"/>
  <c r="V119" i="44"/>
  <c r="W119" i="44"/>
  <c r="X119" i="44"/>
  <c r="K120" i="44"/>
  <c r="M120" i="44"/>
  <c r="O120" i="44"/>
  <c r="Q120" i="44"/>
  <c r="S120" i="44"/>
  <c r="T120" i="44"/>
  <c r="U120" i="44"/>
  <c r="V120" i="44"/>
  <c r="W120" i="44"/>
  <c r="X120" i="44"/>
  <c r="K121" i="44"/>
  <c r="M121" i="44"/>
  <c r="O121" i="44"/>
  <c r="Q121" i="44"/>
  <c r="S121" i="44"/>
  <c r="T121" i="44"/>
  <c r="U121" i="44"/>
  <c r="V121" i="44"/>
  <c r="W121" i="44"/>
  <c r="X121" i="44"/>
  <c r="K122" i="44"/>
  <c r="M122" i="44"/>
  <c r="O122" i="44"/>
  <c r="Q122" i="44"/>
  <c r="S122" i="44"/>
  <c r="T122" i="44"/>
  <c r="U122" i="44"/>
  <c r="V122" i="44"/>
  <c r="W122" i="44"/>
  <c r="X122" i="44"/>
  <c r="K123" i="44"/>
  <c r="M123" i="44"/>
  <c r="O123" i="44"/>
  <c r="Q123" i="44"/>
  <c r="S123" i="44"/>
  <c r="T123" i="44"/>
  <c r="U123" i="44"/>
  <c r="V123" i="44"/>
  <c r="W123" i="44"/>
  <c r="X123" i="44"/>
  <c r="K124" i="44"/>
  <c r="M124" i="44"/>
  <c r="O124" i="44"/>
  <c r="Q124" i="44"/>
  <c r="S124" i="44"/>
  <c r="T124" i="44"/>
  <c r="U124" i="44"/>
  <c r="V124" i="44"/>
  <c r="W124" i="44"/>
  <c r="X124" i="44"/>
  <c r="K125" i="44"/>
  <c r="M125" i="44"/>
  <c r="O125" i="44"/>
  <c r="Q125" i="44"/>
  <c r="S125" i="44"/>
  <c r="T125" i="44"/>
  <c r="U125" i="44"/>
  <c r="V125" i="44"/>
  <c r="W125" i="44"/>
  <c r="X125" i="44"/>
  <c r="K126" i="44"/>
  <c r="M126" i="44"/>
  <c r="O126" i="44"/>
  <c r="Q126" i="44"/>
  <c r="S126" i="44"/>
  <c r="T126" i="44"/>
  <c r="U126" i="44"/>
  <c r="V126" i="44"/>
  <c r="W126" i="44"/>
  <c r="X126" i="44"/>
  <c r="K127" i="44"/>
  <c r="M127" i="44"/>
  <c r="O127" i="44"/>
  <c r="Q127" i="44"/>
  <c r="S127" i="44"/>
  <c r="T127" i="44"/>
  <c r="U127" i="44"/>
  <c r="V127" i="44"/>
  <c r="W127" i="44"/>
  <c r="X127" i="44"/>
  <c r="K128" i="44"/>
  <c r="M128" i="44"/>
  <c r="O128" i="44"/>
  <c r="Q128" i="44"/>
  <c r="S128" i="44"/>
  <c r="T128" i="44"/>
  <c r="U128" i="44"/>
  <c r="V128" i="44"/>
  <c r="W128" i="44"/>
  <c r="X128" i="44"/>
  <c r="K129" i="44"/>
  <c r="M129" i="44"/>
  <c r="O129" i="44"/>
  <c r="Q129" i="44"/>
  <c r="S129" i="44"/>
  <c r="T129" i="44"/>
  <c r="U129" i="44"/>
  <c r="V129" i="44"/>
  <c r="W129" i="44"/>
  <c r="X129" i="44"/>
  <c r="K130" i="44"/>
  <c r="M130" i="44"/>
  <c r="O130" i="44"/>
  <c r="Q130" i="44"/>
  <c r="S130" i="44"/>
  <c r="T130" i="44"/>
  <c r="U130" i="44"/>
  <c r="V130" i="44"/>
  <c r="W130" i="44"/>
  <c r="X130" i="44"/>
  <c r="K131" i="44"/>
  <c r="M131" i="44"/>
  <c r="O131" i="44"/>
  <c r="Q131" i="44"/>
  <c r="S131" i="44"/>
  <c r="T131" i="44"/>
  <c r="U131" i="44"/>
  <c r="V131" i="44"/>
  <c r="W131" i="44"/>
  <c r="X131" i="44"/>
  <c r="K132" i="44"/>
  <c r="M132" i="44"/>
  <c r="O132" i="44"/>
  <c r="Q132" i="44"/>
  <c r="S132" i="44"/>
  <c r="T132" i="44"/>
  <c r="U132" i="44"/>
  <c r="V132" i="44"/>
  <c r="W132" i="44"/>
  <c r="X132" i="44"/>
  <c r="K133" i="44"/>
  <c r="M133" i="44"/>
  <c r="O133" i="44"/>
  <c r="Q133" i="44"/>
  <c r="S133" i="44"/>
  <c r="T133" i="44"/>
  <c r="U133" i="44"/>
  <c r="V133" i="44"/>
  <c r="W133" i="44"/>
  <c r="X133" i="44"/>
  <c r="K134" i="44"/>
  <c r="M134" i="44"/>
  <c r="O134" i="44"/>
  <c r="Q134" i="44"/>
  <c r="S134" i="44"/>
  <c r="T134" i="44"/>
  <c r="U134" i="44"/>
  <c r="V134" i="44"/>
  <c r="W134" i="44"/>
  <c r="X134" i="44"/>
  <c r="K135" i="44"/>
  <c r="M135" i="44"/>
  <c r="O135" i="44"/>
  <c r="Q135" i="44"/>
  <c r="S135" i="44"/>
  <c r="T135" i="44"/>
  <c r="U135" i="44"/>
  <c r="V135" i="44"/>
  <c r="W135" i="44"/>
  <c r="X135" i="44"/>
  <c r="K136" i="44"/>
  <c r="M136" i="44"/>
  <c r="O136" i="44"/>
  <c r="Q136" i="44"/>
  <c r="S136" i="44"/>
  <c r="T136" i="44"/>
  <c r="U136" i="44"/>
  <c r="V136" i="44"/>
  <c r="W136" i="44"/>
  <c r="X136" i="44"/>
  <c r="K137" i="44"/>
  <c r="M137" i="44"/>
  <c r="O137" i="44"/>
  <c r="Q137" i="44"/>
  <c r="S137" i="44"/>
  <c r="T137" i="44"/>
  <c r="U137" i="44"/>
  <c r="V137" i="44"/>
  <c r="W137" i="44"/>
  <c r="X137" i="44"/>
  <c r="K138" i="44"/>
  <c r="M138" i="44"/>
  <c r="O138" i="44"/>
  <c r="Q138" i="44"/>
  <c r="S138" i="44"/>
  <c r="T138" i="44"/>
  <c r="U138" i="44"/>
  <c r="V138" i="44"/>
  <c r="W138" i="44"/>
  <c r="X138" i="44"/>
  <c r="K139" i="44"/>
  <c r="M139" i="44"/>
  <c r="O139" i="44"/>
  <c r="Q139" i="44"/>
  <c r="S139" i="44"/>
  <c r="T139" i="44"/>
  <c r="U139" i="44"/>
  <c r="V139" i="44"/>
  <c r="W139" i="44"/>
  <c r="X139" i="44"/>
  <c r="K140" i="44"/>
  <c r="M140" i="44"/>
  <c r="O140" i="44"/>
  <c r="Q140" i="44"/>
  <c r="S140" i="44"/>
  <c r="T140" i="44"/>
  <c r="U140" i="44"/>
  <c r="V140" i="44"/>
  <c r="W140" i="44"/>
  <c r="X140" i="44"/>
  <c r="K141" i="44"/>
  <c r="M141" i="44"/>
  <c r="O141" i="44"/>
  <c r="Q141" i="44"/>
  <c r="S141" i="44"/>
  <c r="T141" i="44"/>
  <c r="U141" i="44"/>
  <c r="V141" i="44"/>
  <c r="W141" i="44"/>
  <c r="X141" i="44"/>
  <c r="K142" i="44"/>
  <c r="M142" i="44"/>
  <c r="O142" i="44"/>
  <c r="Q142" i="44"/>
  <c r="S142" i="44"/>
  <c r="T142" i="44"/>
  <c r="U142" i="44"/>
  <c r="V142" i="44"/>
  <c r="W142" i="44"/>
  <c r="X142" i="44"/>
  <c r="K143" i="44"/>
  <c r="M143" i="44"/>
  <c r="O143" i="44"/>
  <c r="Q143" i="44"/>
  <c r="S143" i="44"/>
  <c r="T143" i="44"/>
  <c r="U143" i="44"/>
  <c r="V143" i="44"/>
  <c r="W143" i="44"/>
  <c r="X143" i="44"/>
  <c r="K144" i="44"/>
  <c r="M144" i="44"/>
  <c r="O144" i="44"/>
  <c r="Q144" i="44"/>
  <c r="S144" i="44"/>
  <c r="T144" i="44"/>
  <c r="U144" i="44"/>
  <c r="V144" i="44"/>
  <c r="W144" i="44"/>
  <c r="X144" i="44"/>
  <c r="K145" i="44"/>
  <c r="M145" i="44"/>
  <c r="O145" i="44"/>
  <c r="Q145" i="44"/>
  <c r="S145" i="44"/>
  <c r="T145" i="44"/>
  <c r="U145" i="44"/>
  <c r="V145" i="44"/>
  <c r="W145" i="44"/>
  <c r="X145" i="44"/>
  <c r="K146" i="44"/>
  <c r="M146" i="44"/>
  <c r="O146" i="44"/>
  <c r="Q146" i="44"/>
  <c r="S146" i="44"/>
  <c r="T146" i="44"/>
  <c r="U146" i="44"/>
  <c r="V146" i="44"/>
  <c r="W146" i="44"/>
  <c r="X146" i="44"/>
  <c r="K147" i="44"/>
  <c r="M147" i="44"/>
  <c r="O147" i="44"/>
  <c r="Q147" i="44"/>
  <c r="S147" i="44"/>
  <c r="T147" i="44"/>
  <c r="U147" i="44"/>
  <c r="V147" i="44"/>
  <c r="W147" i="44"/>
  <c r="X147" i="44"/>
  <c r="K148" i="44"/>
  <c r="M148" i="44"/>
  <c r="O148" i="44"/>
  <c r="Q148" i="44"/>
  <c r="S148" i="44"/>
  <c r="T148" i="44"/>
  <c r="U148" i="44"/>
  <c r="V148" i="44"/>
  <c r="W148" i="44"/>
  <c r="X148" i="44"/>
  <c r="K149" i="44"/>
  <c r="M149" i="44"/>
  <c r="O149" i="44"/>
  <c r="Q149" i="44"/>
  <c r="S149" i="44"/>
  <c r="T149" i="44"/>
  <c r="U149" i="44"/>
  <c r="V149" i="44"/>
  <c r="W149" i="44"/>
  <c r="X149" i="44"/>
  <c r="K150" i="44"/>
  <c r="M150" i="44"/>
  <c r="O150" i="44"/>
  <c r="Q150" i="44"/>
  <c r="S150" i="44"/>
  <c r="T150" i="44"/>
  <c r="U150" i="44"/>
  <c r="V150" i="44"/>
  <c r="W150" i="44"/>
  <c r="X150" i="44"/>
  <c r="K151" i="44"/>
  <c r="M151" i="44"/>
  <c r="O151" i="44"/>
  <c r="Q151" i="44"/>
  <c r="S151" i="44"/>
  <c r="T151" i="44"/>
  <c r="U151" i="44"/>
  <c r="V151" i="44"/>
  <c r="W151" i="44"/>
  <c r="X151" i="44"/>
  <c r="K152" i="44"/>
  <c r="M152" i="44"/>
  <c r="O152" i="44"/>
  <c r="Q152" i="44"/>
  <c r="S152" i="44"/>
  <c r="T152" i="44"/>
  <c r="U152" i="44"/>
  <c r="V152" i="44"/>
  <c r="W152" i="44"/>
  <c r="X152" i="44"/>
  <c r="K153" i="44"/>
  <c r="M153" i="44"/>
  <c r="O153" i="44"/>
  <c r="Q153" i="44"/>
  <c r="S153" i="44"/>
  <c r="T153" i="44"/>
  <c r="U153" i="44"/>
  <c r="V153" i="44"/>
  <c r="W153" i="44"/>
  <c r="X153" i="44"/>
  <c r="K154" i="44"/>
  <c r="M154" i="44"/>
  <c r="O154" i="44"/>
  <c r="Q154" i="44"/>
  <c r="S154" i="44"/>
  <c r="T154" i="44"/>
  <c r="U154" i="44"/>
  <c r="V154" i="44"/>
  <c r="W154" i="44"/>
  <c r="X154" i="44"/>
  <c r="K155" i="44"/>
  <c r="M155" i="44"/>
  <c r="O155" i="44"/>
  <c r="Q155" i="44"/>
  <c r="S155" i="44"/>
  <c r="T155" i="44"/>
  <c r="U155" i="44"/>
  <c r="V155" i="44"/>
  <c r="W155" i="44"/>
  <c r="X155" i="44"/>
  <c r="K156" i="44"/>
  <c r="M156" i="44"/>
  <c r="O156" i="44"/>
  <c r="Q156" i="44"/>
  <c r="S156" i="44"/>
  <c r="T156" i="44"/>
  <c r="U156" i="44"/>
  <c r="V156" i="44"/>
  <c r="W156" i="44"/>
  <c r="X156" i="44"/>
  <c r="K157" i="44"/>
  <c r="M157" i="44"/>
  <c r="O157" i="44"/>
  <c r="Q157" i="44"/>
  <c r="S157" i="44"/>
  <c r="T157" i="44"/>
  <c r="U157" i="44"/>
  <c r="V157" i="44"/>
  <c r="W157" i="44"/>
  <c r="X157" i="44"/>
  <c r="K158" i="44"/>
  <c r="M158" i="44"/>
  <c r="O158" i="44"/>
  <c r="Q158" i="44"/>
  <c r="S158" i="44"/>
  <c r="T158" i="44"/>
  <c r="U158" i="44"/>
  <c r="V158" i="44"/>
  <c r="W158" i="44"/>
  <c r="X158" i="44"/>
  <c r="K159" i="44"/>
  <c r="M159" i="44"/>
  <c r="O159" i="44"/>
  <c r="Q159" i="44"/>
  <c r="S159" i="44"/>
  <c r="T159" i="44"/>
  <c r="U159" i="44"/>
  <c r="V159" i="44"/>
  <c r="W159" i="44"/>
  <c r="X159" i="44"/>
  <c r="K160" i="44"/>
  <c r="M160" i="44"/>
  <c r="O160" i="44"/>
  <c r="Q160" i="44"/>
  <c r="S160" i="44"/>
  <c r="T160" i="44"/>
  <c r="U160" i="44"/>
  <c r="V160" i="44"/>
  <c r="W160" i="44"/>
  <c r="X160" i="44"/>
  <c r="K161" i="44"/>
  <c r="M161" i="44"/>
  <c r="O161" i="44"/>
  <c r="Q161" i="44"/>
  <c r="S161" i="44"/>
  <c r="T161" i="44"/>
  <c r="U161" i="44"/>
  <c r="V161" i="44"/>
  <c r="W161" i="44"/>
  <c r="X161" i="44"/>
  <c r="K162" i="44"/>
  <c r="M162" i="44"/>
  <c r="O162" i="44"/>
  <c r="Q162" i="44"/>
  <c r="S162" i="44"/>
  <c r="T162" i="44"/>
  <c r="U162" i="44"/>
  <c r="V162" i="44"/>
  <c r="W162" i="44"/>
  <c r="X162" i="44"/>
  <c r="K163" i="44"/>
  <c r="M163" i="44"/>
  <c r="O163" i="44"/>
  <c r="Q163" i="44"/>
  <c r="S163" i="44"/>
  <c r="T163" i="44"/>
  <c r="U163" i="44"/>
  <c r="V163" i="44"/>
  <c r="W163" i="44"/>
  <c r="X163" i="44"/>
  <c r="K164" i="44"/>
  <c r="M164" i="44"/>
  <c r="O164" i="44"/>
  <c r="Q164" i="44"/>
  <c r="S164" i="44"/>
  <c r="T164" i="44"/>
  <c r="U164" i="44"/>
  <c r="V164" i="44"/>
  <c r="W164" i="44"/>
  <c r="X164" i="44"/>
  <c r="K165" i="44"/>
  <c r="M165" i="44"/>
  <c r="O165" i="44"/>
  <c r="Q165" i="44"/>
  <c r="S165" i="44"/>
  <c r="T165" i="44"/>
  <c r="U165" i="44"/>
  <c r="V165" i="44"/>
  <c r="W165" i="44"/>
  <c r="X165" i="44"/>
  <c r="K166" i="44"/>
  <c r="M166" i="44"/>
  <c r="O166" i="44"/>
  <c r="Q166" i="44"/>
  <c r="S166" i="44"/>
  <c r="T166" i="44"/>
  <c r="U166" i="44"/>
  <c r="V166" i="44"/>
  <c r="W166" i="44"/>
  <c r="X166" i="44"/>
  <c r="K167" i="44"/>
  <c r="M167" i="44"/>
  <c r="O167" i="44"/>
  <c r="Q167" i="44"/>
  <c r="S167" i="44"/>
  <c r="T167" i="44"/>
  <c r="U167" i="44"/>
  <c r="V167" i="44"/>
  <c r="W167" i="44"/>
  <c r="X167" i="44"/>
  <c r="K168" i="44"/>
  <c r="M168" i="44"/>
  <c r="O168" i="44"/>
  <c r="Q168" i="44"/>
  <c r="S168" i="44"/>
  <c r="T168" i="44"/>
  <c r="U168" i="44"/>
  <c r="V168" i="44"/>
  <c r="W168" i="44"/>
  <c r="X168" i="44"/>
  <c r="K169" i="44"/>
  <c r="M169" i="44"/>
  <c r="O169" i="44"/>
  <c r="Q169" i="44"/>
  <c r="S169" i="44"/>
  <c r="T169" i="44"/>
  <c r="U169" i="44"/>
  <c r="V169" i="44"/>
  <c r="W169" i="44"/>
  <c r="X169" i="44"/>
  <c r="K170" i="44"/>
  <c r="M170" i="44"/>
  <c r="O170" i="44"/>
  <c r="Q170" i="44"/>
  <c r="S170" i="44"/>
  <c r="T170" i="44"/>
  <c r="U170" i="44"/>
  <c r="V170" i="44"/>
  <c r="W170" i="44"/>
  <c r="X170" i="44"/>
  <c r="K171" i="44"/>
  <c r="M171" i="44"/>
  <c r="O171" i="44"/>
  <c r="Q171" i="44"/>
  <c r="S171" i="44"/>
  <c r="T171" i="44"/>
  <c r="U171" i="44"/>
  <c r="V171" i="44"/>
  <c r="W171" i="44"/>
  <c r="X171" i="44"/>
  <c r="K172" i="44"/>
  <c r="M172" i="44"/>
  <c r="O172" i="44"/>
  <c r="Q172" i="44"/>
  <c r="S172" i="44"/>
  <c r="T172" i="44"/>
  <c r="U172" i="44"/>
  <c r="V172" i="44"/>
  <c r="W172" i="44"/>
  <c r="X172" i="44"/>
  <c r="K173" i="44"/>
  <c r="M173" i="44"/>
  <c r="O173" i="44"/>
  <c r="Q173" i="44"/>
  <c r="S173" i="44"/>
  <c r="T173" i="44"/>
  <c r="U173" i="44"/>
  <c r="V173" i="44"/>
  <c r="W173" i="44"/>
  <c r="X173" i="44"/>
  <c r="K174" i="44"/>
  <c r="M174" i="44"/>
  <c r="O174" i="44"/>
  <c r="Q174" i="44"/>
  <c r="S174" i="44"/>
  <c r="T174" i="44"/>
  <c r="U174" i="44"/>
  <c r="V174" i="44"/>
  <c r="W174" i="44"/>
  <c r="X174" i="44"/>
  <c r="K175" i="44"/>
  <c r="M175" i="44"/>
  <c r="O175" i="44"/>
  <c r="Q175" i="44"/>
  <c r="S175" i="44"/>
  <c r="T175" i="44"/>
  <c r="U175" i="44"/>
  <c r="V175" i="44"/>
  <c r="W175" i="44"/>
  <c r="X175" i="44"/>
  <c r="K176" i="44"/>
  <c r="M176" i="44"/>
  <c r="O176" i="44"/>
  <c r="Q176" i="44"/>
  <c r="S176" i="44"/>
  <c r="T176" i="44"/>
  <c r="U176" i="44"/>
  <c r="V176" i="44"/>
  <c r="W176" i="44"/>
  <c r="X176" i="44"/>
  <c r="K177" i="44"/>
  <c r="M177" i="44"/>
  <c r="O177" i="44"/>
  <c r="Q177" i="44"/>
  <c r="S177" i="44"/>
  <c r="T177" i="44"/>
  <c r="U177" i="44"/>
  <c r="V177" i="44"/>
  <c r="W177" i="44"/>
  <c r="X177" i="44"/>
  <c r="K178" i="44"/>
  <c r="M178" i="44"/>
  <c r="O178" i="44"/>
  <c r="Q178" i="44"/>
  <c r="S178" i="44"/>
  <c r="T178" i="44"/>
  <c r="U178" i="44"/>
  <c r="V178" i="44"/>
  <c r="W178" i="44"/>
  <c r="X178" i="44"/>
  <c r="K179" i="44"/>
  <c r="M179" i="44"/>
  <c r="O179" i="44"/>
  <c r="Q179" i="44"/>
  <c r="S179" i="44"/>
  <c r="T179" i="44"/>
  <c r="U179" i="44"/>
  <c r="V179" i="44"/>
  <c r="W179" i="44"/>
  <c r="X179" i="44"/>
  <c r="K180" i="44"/>
  <c r="M180" i="44"/>
  <c r="O180" i="44"/>
  <c r="Q180" i="44"/>
  <c r="S180" i="44"/>
  <c r="T180" i="44"/>
  <c r="U180" i="44"/>
  <c r="V180" i="44"/>
  <c r="W180" i="44"/>
  <c r="X180" i="44"/>
  <c r="K181" i="44"/>
  <c r="M181" i="44"/>
  <c r="O181" i="44"/>
  <c r="Q181" i="44"/>
  <c r="S181" i="44"/>
  <c r="T181" i="44"/>
  <c r="U181" i="44"/>
  <c r="V181" i="44"/>
  <c r="W181" i="44"/>
  <c r="X181" i="44"/>
  <c r="K182" i="44"/>
  <c r="M182" i="44"/>
  <c r="O182" i="44"/>
  <c r="Q182" i="44"/>
  <c r="S182" i="44"/>
  <c r="T182" i="44"/>
  <c r="U182" i="44"/>
  <c r="V182" i="44"/>
  <c r="W182" i="44"/>
  <c r="X182" i="44"/>
  <c r="K183" i="44"/>
  <c r="M183" i="44"/>
  <c r="O183" i="44"/>
  <c r="Q183" i="44"/>
  <c r="S183" i="44"/>
  <c r="T183" i="44"/>
  <c r="U183" i="44"/>
  <c r="V183" i="44"/>
  <c r="W183" i="44"/>
  <c r="X183" i="44"/>
  <c r="K184" i="44"/>
  <c r="M184" i="44"/>
  <c r="O184" i="44"/>
  <c r="Q184" i="44"/>
  <c r="S184" i="44"/>
  <c r="T184" i="44"/>
  <c r="U184" i="44"/>
  <c r="V184" i="44"/>
  <c r="W184" i="44"/>
  <c r="X184" i="44"/>
  <c r="K185" i="44"/>
  <c r="M185" i="44"/>
  <c r="O185" i="44"/>
  <c r="Q185" i="44"/>
  <c r="S185" i="44"/>
  <c r="T185" i="44"/>
  <c r="U185" i="44"/>
  <c r="V185" i="44"/>
  <c r="W185" i="44"/>
  <c r="X185" i="44"/>
  <c r="K186" i="44"/>
  <c r="M186" i="44"/>
  <c r="O186" i="44"/>
  <c r="Q186" i="44"/>
  <c r="S186" i="44"/>
  <c r="T186" i="44"/>
  <c r="U186" i="44"/>
  <c r="V186" i="44"/>
  <c r="W186" i="44"/>
  <c r="X186" i="44"/>
  <c r="K187" i="44"/>
  <c r="M187" i="44"/>
  <c r="O187" i="44"/>
  <c r="Q187" i="44"/>
  <c r="S187" i="44"/>
  <c r="T187" i="44"/>
  <c r="U187" i="44"/>
  <c r="V187" i="44"/>
  <c r="W187" i="44"/>
  <c r="X187" i="44"/>
  <c r="K188" i="44"/>
  <c r="M188" i="44"/>
  <c r="O188" i="44"/>
  <c r="Q188" i="44"/>
  <c r="S188" i="44"/>
  <c r="T188" i="44"/>
  <c r="U188" i="44"/>
  <c r="V188" i="44"/>
  <c r="W188" i="44"/>
  <c r="X188" i="44"/>
  <c r="K189" i="44"/>
  <c r="M189" i="44"/>
  <c r="O189" i="44"/>
  <c r="Q189" i="44"/>
  <c r="S189" i="44"/>
  <c r="T189" i="44"/>
  <c r="U189" i="44"/>
  <c r="V189" i="44"/>
  <c r="W189" i="44"/>
  <c r="X189" i="44"/>
  <c r="K190" i="44"/>
  <c r="M190" i="44"/>
  <c r="O190" i="44"/>
  <c r="Q190" i="44"/>
  <c r="S190" i="44"/>
  <c r="T190" i="44"/>
  <c r="U190" i="44"/>
  <c r="V190" i="44"/>
  <c r="W190" i="44"/>
  <c r="X190" i="44"/>
  <c r="K191" i="44"/>
  <c r="M191" i="44"/>
  <c r="O191" i="44"/>
  <c r="Q191" i="44"/>
  <c r="S191" i="44"/>
  <c r="T191" i="44"/>
  <c r="U191" i="44"/>
  <c r="V191" i="44"/>
  <c r="W191" i="44"/>
  <c r="X191" i="44"/>
  <c r="K192" i="44"/>
  <c r="M192" i="44"/>
  <c r="O192" i="44"/>
  <c r="Q192" i="44"/>
  <c r="S192" i="44"/>
  <c r="T192" i="44"/>
  <c r="U192" i="44"/>
  <c r="V192" i="44"/>
  <c r="W192" i="44"/>
  <c r="X192" i="44"/>
  <c r="K193" i="44"/>
  <c r="M193" i="44"/>
  <c r="O193" i="44"/>
  <c r="Q193" i="44"/>
  <c r="S193" i="44"/>
  <c r="T193" i="44"/>
  <c r="U193" i="44"/>
  <c r="V193" i="44"/>
  <c r="W193" i="44"/>
  <c r="X193" i="44"/>
  <c r="K194" i="44"/>
  <c r="M194" i="44"/>
  <c r="O194" i="44"/>
  <c r="Q194" i="44"/>
  <c r="S194" i="44"/>
  <c r="T194" i="44"/>
  <c r="U194" i="44"/>
  <c r="V194" i="44"/>
  <c r="W194" i="44"/>
  <c r="X194" i="44"/>
  <c r="K195" i="44"/>
  <c r="M195" i="44"/>
  <c r="O195" i="44"/>
  <c r="Q195" i="44"/>
  <c r="S195" i="44"/>
  <c r="T195" i="44"/>
  <c r="U195" i="44"/>
  <c r="V195" i="44"/>
  <c r="W195" i="44"/>
  <c r="X195" i="44"/>
  <c r="K196" i="44"/>
  <c r="M196" i="44"/>
  <c r="O196" i="44"/>
  <c r="Q196" i="44"/>
  <c r="S196" i="44"/>
  <c r="T196" i="44"/>
  <c r="U196" i="44"/>
  <c r="V196" i="44"/>
  <c r="W196" i="44"/>
  <c r="X196" i="44"/>
  <c r="K197" i="44"/>
  <c r="M197" i="44"/>
  <c r="O197" i="44"/>
  <c r="Q197" i="44"/>
  <c r="S197" i="44"/>
  <c r="T197" i="44"/>
  <c r="U197" i="44"/>
  <c r="V197" i="44"/>
  <c r="W197" i="44"/>
  <c r="X197" i="44"/>
  <c r="K198" i="44"/>
  <c r="M198" i="44"/>
  <c r="O198" i="44"/>
  <c r="Q198" i="44"/>
  <c r="S198" i="44"/>
  <c r="T198" i="44"/>
  <c r="U198" i="44"/>
  <c r="V198" i="44"/>
  <c r="W198" i="44"/>
  <c r="X198" i="44"/>
  <c r="K199" i="44"/>
  <c r="M199" i="44"/>
  <c r="O199" i="44"/>
  <c r="Q199" i="44"/>
  <c r="S199" i="44"/>
  <c r="T199" i="44"/>
  <c r="U199" i="44"/>
  <c r="V199" i="44"/>
  <c r="W199" i="44"/>
  <c r="X199" i="44"/>
  <c r="K200" i="44"/>
  <c r="M200" i="44"/>
  <c r="O200" i="44"/>
  <c r="Q200" i="44"/>
  <c r="S200" i="44"/>
  <c r="T200" i="44"/>
  <c r="U200" i="44"/>
  <c r="V200" i="44"/>
  <c r="W200" i="44"/>
  <c r="X200" i="44"/>
  <c r="K201" i="44"/>
  <c r="M201" i="44"/>
  <c r="O201" i="44"/>
  <c r="Q201" i="44"/>
  <c r="S201" i="44"/>
  <c r="T201" i="44"/>
  <c r="U201" i="44"/>
  <c r="V201" i="44"/>
  <c r="W201" i="44"/>
  <c r="X201" i="44"/>
  <c r="K202" i="44"/>
  <c r="M202" i="44"/>
  <c r="O202" i="44"/>
  <c r="Q202" i="44"/>
  <c r="S202" i="44"/>
  <c r="T202" i="44"/>
  <c r="U202" i="44"/>
  <c r="V202" i="44"/>
  <c r="W202" i="44"/>
  <c r="X202" i="44"/>
  <c r="K203" i="44"/>
  <c r="M203" i="44"/>
  <c r="O203" i="44"/>
  <c r="Q203" i="44"/>
  <c r="S203" i="44"/>
  <c r="T203" i="44"/>
  <c r="U203" i="44"/>
  <c r="V203" i="44"/>
  <c r="W203" i="44"/>
  <c r="X203" i="44"/>
  <c r="K204" i="44"/>
  <c r="M204" i="44"/>
  <c r="O204" i="44"/>
  <c r="Q204" i="44"/>
  <c r="S204" i="44"/>
  <c r="T204" i="44"/>
  <c r="U204" i="44"/>
  <c r="V204" i="44"/>
  <c r="W204" i="44"/>
  <c r="X204" i="44"/>
  <c r="K205" i="44"/>
  <c r="M205" i="44"/>
  <c r="O205" i="44"/>
  <c r="Q205" i="44"/>
  <c r="S205" i="44"/>
  <c r="T205" i="44"/>
  <c r="U205" i="44"/>
  <c r="V205" i="44"/>
  <c r="W205" i="44"/>
  <c r="X205" i="44"/>
  <c r="K206" i="44"/>
  <c r="M206" i="44"/>
  <c r="O206" i="44"/>
  <c r="Q206" i="44"/>
  <c r="S206" i="44"/>
  <c r="T206" i="44"/>
  <c r="U206" i="44"/>
  <c r="V206" i="44"/>
  <c r="W206" i="44"/>
  <c r="X206" i="44"/>
  <c r="K207" i="44"/>
  <c r="M207" i="44"/>
  <c r="O207" i="44"/>
  <c r="Q207" i="44"/>
  <c r="S207" i="44"/>
  <c r="T207" i="44"/>
  <c r="U207" i="44"/>
  <c r="V207" i="44"/>
  <c r="W207" i="44"/>
  <c r="X207" i="44"/>
  <c r="K208" i="44"/>
  <c r="M208" i="44"/>
  <c r="O208" i="44"/>
  <c r="Q208" i="44"/>
  <c r="S208" i="44"/>
  <c r="T208" i="44"/>
  <c r="U208" i="44"/>
  <c r="V208" i="44"/>
  <c r="W208" i="44"/>
  <c r="X208" i="44"/>
  <c r="K209" i="44"/>
  <c r="M209" i="44"/>
  <c r="O209" i="44"/>
  <c r="Q209" i="44"/>
  <c r="S209" i="44"/>
  <c r="T209" i="44"/>
  <c r="U209" i="44"/>
  <c r="V209" i="44"/>
  <c r="W209" i="44"/>
  <c r="X209" i="44"/>
  <c r="K210" i="44"/>
  <c r="M210" i="44"/>
  <c r="O210" i="44"/>
  <c r="Q210" i="44"/>
  <c r="S210" i="44"/>
  <c r="T210" i="44"/>
  <c r="U210" i="44"/>
  <c r="V210" i="44"/>
  <c r="W210" i="44"/>
  <c r="X210" i="44"/>
  <c r="K211" i="44"/>
  <c r="M211" i="44"/>
  <c r="O211" i="44"/>
  <c r="Q211" i="44"/>
  <c r="S211" i="44"/>
  <c r="T211" i="44"/>
  <c r="U211" i="44"/>
  <c r="V211" i="44"/>
  <c r="W211" i="44"/>
  <c r="X211" i="44"/>
  <c r="K212" i="44"/>
  <c r="M212" i="44"/>
  <c r="O212" i="44"/>
  <c r="Q212" i="44"/>
  <c r="S212" i="44"/>
  <c r="T212" i="44"/>
  <c r="U212" i="44"/>
  <c r="V212" i="44"/>
  <c r="W212" i="44"/>
  <c r="X212" i="44"/>
  <c r="K213" i="44"/>
  <c r="M213" i="44"/>
  <c r="O213" i="44"/>
  <c r="Q213" i="44"/>
  <c r="S213" i="44"/>
  <c r="T213" i="44"/>
  <c r="U213" i="44"/>
  <c r="V213" i="44"/>
  <c r="W213" i="44"/>
  <c r="X213" i="44"/>
  <c r="K214" i="44"/>
  <c r="M214" i="44"/>
  <c r="O214" i="44"/>
  <c r="Q214" i="44"/>
  <c r="S214" i="44"/>
  <c r="T214" i="44"/>
  <c r="U214" i="44"/>
  <c r="V214" i="44"/>
  <c r="W214" i="44"/>
  <c r="X214" i="44"/>
  <c r="K215" i="44"/>
  <c r="M215" i="44"/>
  <c r="O215" i="44"/>
  <c r="Q215" i="44"/>
  <c r="S215" i="44"/>
  <c r="T215" i="44"/>
  <c r="U215" i="44"/>
  <c r="V215" i="44"/>
  <c r="W215" i="44"/>
  <c r="X215" i="44"/>
  <c r="K216" i="44"/>
  <c r="M216" i="44"/>
  <c r="O216" i="44"/>
  <c r="Q216" i="44"/>
  <c r="S216" i="44"/>
  <c r="T216" i="44"/>
  <c r="U216" i="44"/>
  <c r="V216" i="44"/>
  <c r="W216" i="44"/>
  <c r="X216" i="44"/>
  <c r="K217" i="44"/>
  <c r="M217" i="44"/>
  <c r="O217" i="44"/>
  <c r="Q217" i="44"/>
  <c r="S217" i="44"/>
  <c r="T217" i="44"/>
  <c r="U217" i="44"/>
  <c r="V217" i="44"/>
  <c r="W217" i="44"/>
  <c r="X217" i="44"/>
  <c r="K218" i="44"/>
  <c r="M218" i="44"/>
  <c r="O218" i="44"/>
  <c r="Q218" i="44"/>
  <c r="S218" i="44"/>
  <c r="T218" i="44"/>
  <c r="U218" i="44"/>
  <c r="V218" i="44"/>
  <c r="W218" i="44"/>
  <c r="X218" i="44"/>
  <c r="K219" i="44"/>
  <c r="M219" i="44"/>
  <c r="O219" i="44"/>
  <c r="Q219" i="44"/>
  <c r="S219" i="44"/>
  <c r="T219" i="44"/>
  <c r="U219" i="44"/>
  <c r="V219" i="44"/>
  <c r="W219" i="44"/>
  <c r="X219" i="44"/>
  <c r="K220" i="44"/>
  <c r="M220" i="44"/>
  <c r="O220" i="44"/>
  <c r="Q220" i="44"/>
  <c r="S220" i="44"/>
  <c r="T220" i="44"/>
  <c r="U220" i="44"/>
  <c r="V220" i="44"/>
  <c r="W220" i="44"/>
  <c r="X220" i="44"/>
  <c r="K221" i="44"/>
  <c r="M221" i="44"/>
  <c r="O221" i="44"/>
  <c r="Q221" i="44"/>
  <c r="S221" i="44"/>
  <c r="T221" i="44"/>
  <c r="U221" i="44"/>
  <c r="V221" i="44"/>
  <c r="W221" i="44"/>
  <c r="X221" i="44"/>
  <c r="K222" i="44"/>
  <c r="M222" i="44"/>
  <c r="O222" i="44"/>
  <c r="Q222" i="44"/>
  <c r="S222" i="44"/>
  <c r="T222" i="44"/>
  <c r="U222" i="44"/>
  <c r="V222" i="44"/>
  <c r="W222" i="44"/>
  <c r="X222" i="44"/>
  <c r="K223" i="44"/>
  <c r="M223" i="44"/>
  <c r="O223" i="44"/>
  <c r="Q223" i="44"/>
  <c r="S223" i="44"/>
  <c r="T223" i="44"/>
  <c r="U223" i="44"/>
  <c r="V223" i="44"/>
  <c r="W223" i="44"/>
  <c r="X223" i="44"/>
  <c r="K224" i="44"/>
  <c r="M224" i="44"/>
  <c r="O224" i="44"/>
  <c r="Q224" i="44"/>
  <c r="S224" i="44"/>
  <c r="T224" i="44"/>
  <c r="U224" i="44"/>
  <c r="V224" i="44"/>
  <c r="W224" i="44"/>
  <c r="X224" i="44"/>
  <c r="K225" i="44"/>
  <c r="M225" i="44"/>
  <c r="O225" i="44"/>
  <c r="Q225" i="44"/>
  <c r="S225" i="44"/>
  <c r="T225" i="44"/>
  <c r="U225" i="44"/>
  <c r="V225" i="44"/>
  <c r="W225" i="44"/>
  <c r="X225" i="44"/>
  <c r="K226" i="44"/>
  <c r="M226" i="44"/>
  <c r="O226" i="44"/>
  <c r="Q226" i="44"/>
  <c r="S226" i="44"/>
  <c r="T226" i="44"/>
  <c r="U226" i="44"/>
  <c r="V226" i="44"/>
  <c r="W226" i="44"/>
  <c r="X226" i="44"/>
  <c r="K227" i="44"/>
  <c r="M227" i="44"/>
  <c r="O227" i="44"/>
  <c r="Q227" i="44"/>
  <c r="S227" i="44"/>
  <c r="T227" i="44"/>
  <c r="U227" i="44"/>
  <c r="V227" i="44"/>
  <c r="W227" i="44"/>
  <c r="X227" i="44"/>
  <c r="K228" i="44"/>
  <c r="M228" i="44"/>
  <c r="O228" i="44"/>
  <c r="Q228" i="44"/>
  <c r="S228" i="44"/>
  <c r="T228" i="44"/>
  <c r="U228" i="44"/>
  <c r="V228" i="44"/>
  <c r="W228" i="44"/>
  <c r="X228" i="44"/>
  <c r="K229" i="44"/>
  <c r="M229" i="44"/>
  <c r="O229" i="44"/>
  <c r="Q229" i="44"/>
  <c r="S229" i="44"/>
  <c r="T229" i="44"/>
  <c r="U229" i="44"/>
  <c r="V229" i="44"/>
  <c r="W229" i="44"/>
  <c r="X229" i="44"/>
  <c r="K230" i="44"/>
  <c r="M230" i="44"/>
  <c r="O230" i="44"/>
  <c r="Q230" i="44"/>
  <c r="S230" i="44"/>
  <c r="T230" i="44"/>
  <c r="U230" i="44"/>
  <c r="V230" i="44"/>
  <c r="W230" i="44"/>
  <c r="X230" i="44"/>
  <c r="K231" i="44"/>
  <c r="M231" i="44"/>
  <c r="O231" i="44"/>
  <c r="Q231" i="44"/>
  <c r="S231" i="44"/>
  <c r="T231" i="44"/>
  <c r="U231" i="44"/>
  <c r="V231" i="44"/>
  <c r="W231" i="44"/>
  <c r="X231" i="44"/>
  <c r="K232" i="44"/>
  <c r="M232" i="44"/>
  <c r="O232" i="44"/>
  <c r="Q232" i="44"/>
  <c r="S232" i="44"/>
  <c r="T232" i="44"/>
  <c r="U232" i="44"/>
  <c r="V232" i="44"/>
  <c r="W232" i="44"/>
  <c r="X232" i="44"/>
  <c r="K233" i="44"/>
  <c r="M233" i="44"/>
  <c r="O233" i="44"/>
  <c r="Q233" i="44"/>
  <c r="S233" i="44"/>
  <c r="T233" i="44"/>
  <c r="U233" i="44"/>
  <c r="V233" i="44"/>
  <c r="W233" i="44"/>
  <c r="X233" i="44"/>
  <c r="K234" i="44"/>
  <c r="M234" i="44"/>
  <c r="O234" i="44"/>
  <c r="Q234" i="44"/>
  <c r="S234" i="44"/>
  <c r="T234" i="44"/>
  <c r="U234" i="44"/>
  <c r="V234" i="44"/>
  <c r="W234" i="44"/>
  <c r="X234" i="44"/>
  <c r="K235" i="44"/>
  <c r="M235" i="44"/>
  <c r="O235" i="44"/>
  <c r="Q235" i="44"/>
  <c r="S235" i="44"/>
  <c r="T235" i="44"/>
  <c r="U235" i="44"/>
  <c r="V235" i="44"/>
  <c r="W235" i="44"/>
  <c r="X235" i="44"/>
  <c r="K236" i="44"/>
  <c r="M236" i="44"/>
  <c r="O236" i="44"/>
  <c r="Q236" i="44"/>
  <c r="S236" i="44"/>
  <c r="T236" i="44"/>
  <c r="U236" i="44"/>
  <c r="V236" i="44"/>
  <c r="W236" i="44"/>
  <c r="X236" i="44"/>
  <c r="K237" i="44"/>
  <c r="M237" i="44"/>
  <c r="O237" i="44"/>
  <c r="Q237" i="44"/>
  <c r="S237" i="44"/>
  <c r="T237" i="44"/>
  <c r="U237" i="44"/>
  <c r="V237" i="44"/>
  <c r="W237" i="44"/>
  <c r="X237" i="44"/>
  <c r="K238" i="44"/>
  <c r="M238" i="44"/>
  <c r="O238" i="44"/>
  <c r="Q238" i="44"/>
  <c r="S238" i="44"/>
  <c r="T238" i="44"/>
  <c r="U238" i="44"/>
  <c r="V238" i="44"/>
  <c r="W238" i="44"/>
  <c r="X238" i="44"/>
  <c r="K239" i="44"/>
  <c r="M239" i="44"/>
  <c r="O239" i="44"/>
  <c r="Q239" i="44"/>
  <c r="S239" i="44"/>
  <c r="T239" i="44"/>
  <c r="U239" i="44"/>
  <c r="V239" i="44"/>
  <c r="W239" i="44"/>
  <c r="X239" i="44"/>
  <c r="K240" i="44"/>
  <c r="M240" i="44"/>
  <c r="O240" i="44"/>
  <c r="Q240" i="44"/>
  <c r="S240" i="44"/>
  <c r="T240" i="44"/>
  <c r="U240" i="44"/>
  <c r="V240" i="44"/>
  <c r="W240" i="44"/>
  <c r="X240" i="44"/>
  <c r="K241" i="44"/>
  <c r="M241" i="44"/>
  <c r="O241" i="44"/>
  <c r="Q241" i="44"/>
  <c r="S241" i="44"/>
  <c r="T241" i="44"/>
  <c r="U241" i="44"/>
  <c r="V241" i="44"/>
  <c r="W241" i="44"/>
  <c r="X241" i="44"/>
  <c r="K242" i="44"/>
  <c r="M242" i="44"/>
  <c r="O242" i="44"/>
  <c r="Q242" i="44"/>
  <c r="S242" i="44"/>
  <c r="T242" i="44"/>
  <c r="U242" i="44"/>
  <c r="V242" i="44"/>
  <c r="W242" i="44"/>
  <c r="X242" i="44"/>
  <c r="K243" i="44"/>
  <c r="M243" i="44"/>
  <c r="O243" i="44"/>
  <c r="Q243" i="44"/>
  <c r="S243" i="44"/>
  <c r="T243" i="44"/>
  <c r="U243" i="44"/>
  <c r="V243" i="44"/>
  <c r="W243" i="44"/>
  <c r="X243" i="44"/>
  <c r="K244" i="44"/>
  <c r="M244" i="44"/>
  <c r="O244" i="44"/>
  <c r="Q244" i="44"/>
  <c r="S244" i="44"/>
  <c r="T244" i="44"/>
  <c r="U244" i="44"/>
  <c r="V244" i="44"/>
  <c r="W244" i="44"/>
  <c r="X244" i="44"/>
  <c r="K245" i="44"/>
  <c r="M245" i="44"/>
  <c r="O245" i="44"/>
  <c r="Q245" i="44"/>
  <c r="S245" i="44"/>
  <c r="T245" i="44"/>
  <c r="U245" i="44"/>
  <c r="V245" i="44"/>
  <c r="W245" i="44"/>
  <c r="X245" i="44"/>
  <c r="K246" i="44"/>
  <c r="M246" i="44"/>
  <c r="O246" i="44"/>
  <c r="Q246" i="44"/>
  <c r="S246" i="44"/>
  <c r="T246" i="44"/>
  <c r="U246" i="44"/>
  <c r="V246" i="44"/>
  <c r="W246" i="44"/>
  <c r="X246" i="44"/>
  <c r="K247" i="44"/>
  <c r="M247" i="44"/>
  <c r="O247" i="44"/>
  <c r="Q247" i="44"/>
  <c r="S247" i="44"/>
  <c r="T247" i="44"/>
  <c r="U247" i="44"/>
  <c r="V247" i="44"/>
  <c r="W247" i="44"/>
  <c r="X247" i="44"/>
  <c r="K248" i="44"/>
  <c r="M248" i="44"/>
  <c r="O248" i="44"/>
  <c r="Q248" i="44"/>
  <c r="S248" i="44"/>
  <c r="T248" i="44"/>
  <c r="U248" i="44"/>
  <c r="V248" i="44"/>
  <c r="W248" i="44"/>
  <c r="X248" i="44"/>
  <c r="K249" i="44"/>
  <c r="M249" i="44"/>
  <c r="O249" i="44"/>
  <c r="Q249" i="44"/>
  <c r="S249" i="44"/>
  <c r="T249" i="44"/>
  <c r="U249" i="44"/>
  <c r="V249" i="44"/>
  <c r="W249" i="44"/>
  <c r="X249" i="44"/>
  <c r="K250" i="44"/>
  <c r="M250" i="44"/>
  <c r="O250" i="44"/>
  <c r="Q250" i="44"/>
  <c r="S250" i="44"/>
  <c r="T250" i="44"/>
  <c r="U250" i="44"/>
  <c r="V250" i="44"/>
  <c r="W250" i="44"/>
  <c r="X250" i="44"/>
  <c r="K251" i="44"/>
  <c r="M251" i="44"/>
  <c r="O251" i="44"/>
  <c r="Q251" i="44"/>
  <c r="S251" i="44"/>
  <c r="T251" i="44"/>
  <c r="U251" i="44"/>
  <c r="V251" i="44"/>
  <c r="W251" i="44"/>
  <c r="X251" i="44"/>
  <c r="K252" i="44"/>
  <c r="M252" i="44"/>
  <c r="O252" i="44"/>
  <c r="Q252" i="44"/>
  <c r="S252" i="44"/>
  <c r="T252" i="44"/>
  <c r="U252" i="44"/>
  <c r="V252" i="44"/>
  <c r="W252" i="44"/>
  <c r="X252" i="44"/>
  <c r="K253" i="44"/>
  <c r="M253" i="44"/>
  <c r="O253" i="44"/>
  <c r="Q253" i="44"/>
  <c r="S253" i="44"/>
  <c r="T253" i="44"/>
  <c r="U253" i="44"/>
  <c r="V253" i="44"/>
  <c r="W253" i="44"/>
  <c r="X253" i="44"/>
  <c r="K254" i="44"/>
  <c r="M254" i="44"/>
  <c r="O254" i="44"/>
  <c r="Q254" i="44"/>
  <c r="S254" i="44"/>
  <c r="T254" i="44"/>
  <c r="U254" i="44"/>
  <c r="V254" i="44"/>
  <c r="W254" i="44"/>
  <c r="X254" i="44"/>
  <c r="K255" i="44"/>
  <c r="M255" i="44"/>
  <c r="O255" i="44"/>
  <c r="Q255" i="44"/>
  <c r="S255" i="44"/>
  <c r="T255" i="44"/>
  <c r="U255" i="44"/>
  <c r="V255" i="44"/>
  <c r="W255" i="44"/>
  <c r="X255" i="44"/>
  <c r="K256" i="44"/>
  <c r="M256" i="44"/>
  <c r="O256" i="44"/>
  <c r="Q256" i="44"/>
  <c r="S256" i="44"/>
  <c r="T256" i="44"/>
  <c r="U256" i="44"/>
  <c r="V256" i="44"/>
  <c r="W256" i="44"/>
  <c r="X256" i="44"/>
  <c r="K257" i="44"/>
  <c r="M257" i="44"/>
  <c r="O257" i="44"/>
  <c r="Q257" i="44"/>
  <c r="S257" i="44"/>
  <c r="T257" i="44"/>
  <c r="U257" i="44"/>
  <c r="V257" i="44"/>
  <c r="W257" i="44"/>
  <c r="X257" i="44"/>
  <c r="K258" i="44"/>
  <c r="M258" i="44"/>
  <c r="O258" i="44"/>
  <c r="Q258" i="44"/>
  <c r="S258" i="44"/>
  <c r="T258" i="44"/>
  <c r="U258" i="44"/>
  <c r="V258" i="44"/>
  <c r="W258" i="44"/>
  <c r="X258" i="44"/>
  <c r="K259" i="44"/>
  <c r="M259" i="44"/>
  <c r="O259" i="44"/>
  <c r="Q259" i="44"/>
  <c r="S259" i="44"/>
  <c r="T259" i="44"/>
  <c r="U259" i="44"/>
  <c r="V259" i="44"/>
  <c r="W259" i="44"/>
  <c r="X259" i="44"/>
  <c r="K260" i="44"/>
  <c r="M260" i="44"/>
  <c r="O260" i="44"/>
  <c r="Q260" i="44"/>
  <c r="S260" i="44"/>
  <c r="T260" i="44"/>
  <c r="U260" i="44"/>
  <c r="V260" i="44"/>
  <c r="W260" i="44"/>
  <c r="X260" i="44"/>
  <c r="K261" i="44"/>
  <c r="M261" i="44"/>
  <c r="O261" i="44"/>
  <c r="Q261" i="44"/>
  <c r="S261" i="44"/>
  <c r="T261" i="44"/>
  <c r="U261" i="44"/>
  <c r="V261" i="44"/>
  <c r="W261" i="44"/>
  <c r="X261" i="44"/>
  <c r="K262" i="44"/>
  <c r="M262" i="44"/>
  <c r="O262" i="44"/>
  <c r="Q262" i="44"/>
  <c r="S262" i="44"/>
  <c r="T262" i="44"/>
  <c r="U262" i="44"/>
  <c r="V262" i="44"/>
  <c r="W262" i="44"/>
  <c r="X262" i="44"/>
  <c r="K263" i="44"/>
  <c r="M263" i="44"/>
  <c r="O263" i="44"/>
  <c r="Q263" i="44"/>
  <c r="S263" i="44"/>
  <c r="T263" i="44"/>
  <c r="U263" i="44"/>
  <c r="V263" i="44"/>
  <c r="W263" i="44"/>
  <c r="X263" i="44"/>
  <c r="K264" i="44"/>
  <c r="M264" i="44"/>
  <c r="O264" i="44"/>
  <c r="Q264" i="44"/>
  <c r="S264" i="44"/>
  <c r="T264" i="44"/>
  <c r="U264" i="44"/>
  <c r="V264" i="44"/>
  <c r="W264" i="44"/>
  <c r="X264" i="44"/>
  <c r="K265" i="44"/>
  <c r="M265" i="44"/>
  <c r="O265" i="44"/>
  <c r="Q265" i="44"/>
  <c r="S265" i="44"/>
  <c r="T265" i="44"/>
  <c r="U265" i="44"/>
  <c r="V265" i="44"/>
  <c r="W265" i="44"/>
  <c r="X265" i="44"/>
  <c r="K266" i="44"/>
  <c r="M266" i="44"/>
  <c r="O266" i="44"/>
  <c r="Q266" i="44"/>
  <c r="S266" i="44"/>
  <c r="T266" i="44"/>
  <c r="U266" i="44"/>
  <c r="V266" i="44"/>
  <c r="W266" i="44"/>
  <c r="X266" i="44"/>
  <c r="K267" i="44"/>
  <c r="M267" i="44"/>
  <c r="O267" i="44"/>
  <c r="Q267" i="44"/>
  <c r="S267" i="44"/>
  <c r="T267" i="44"/>
  <c r="U267" i="44"/>
  <c r="V267" i="44"/>
  <c r="W267" i="44"/>
  <c r="X267" i="44"/>
  <c r="K268" i="44"/>
  <c r="M268" i="44"/>
  <c r="O268" i="44"/>
  <c r="Q268" i="44"/>
  <c r="S268" i="44"/>
  <c r="T268" i="44"/>
  <c r="U268" i="44"/>
  <c r="V268" i="44"/>
  <c r="W268" i="44"/>
  <c r="X268" i="44"/>
  <c r="K269" i="44"/>
  <c r="M269" i="44"/>
  <c r="O269" i="44"/>
  <c r="Q269" i="44"/>
  <c r="S269" i="44"/>
  <c r="T269" i="44"/>
  <c r="U269" i="44"/>
  <c r="V269" i="44"/>
  <c r="W269" i="44"/>
  <c r="X269" i="44"/>
  <c r="K270" i="44"/>
  <c r="M270" i="44"/>
  <c r="O270" i="44"/>
  <c r="Q270" i="44"/>
  <c r="S270" i="44"/>
  <c r="T270" i="44"/>
  <c r="U270" i="44"/>
  <c r="V270" i="44"/>
  <c r="W270" i="44"/>
  <c r="X270" i="44"/>
  <c r="K271" i="44"/>
  <c r="M271" i="44"/>
  <c r="O271" i="44"/>
  <c r="Q271" i="44"/>
  <c r="S271" i="44"/>
  <c r="T271" i="44"/>
  <c r="U271" i="44"/>
  <c r="V271" i="44"/>
  <c r="W271" i="44"/>
  <c r="X271" i="44"/>
  <c r="K272" i="44"/>
  <c r="M272" i="44"/>
  <c r="O272" i="44"/>
  <c r="Q272" i="44"/>
  <c r="S272" i="44"/>
  <c r="T272" i="44"/>
  <c r="U272" i="44"/>
  <c r="V272" i="44"/>
  <c r="W272" i="44"/>
  <c r="X272" i="44"/>
  <c r="K273" i="44"/>
  <c r="M273" i="44"/>
  <c r="O273" i="44"/>
  <c r="Q273" i="44"/>
  <c r="S273" i="44"/>
  <c r="T273" i="44"/>
  <c r="U273" i="44"/>
  <c r="V273" i="44"/>
  <c r="W273" i="44"/>
  <c r="X273" i="44"/>
  <c r="K274" i="44"/>
  <c r="M274" i="44"/>
  <c r="O274" i="44"/>
  <c r="Q274" i="44"/>
  <c r="S274" i="44"/>
  <c r="T274" i="44"/>
  <c r="U274" i="44"/>
  <c r="V274" i="44"/>
  <c r="W274" i="44"/>
  <c r="X274" i="44"/>
  <c r="K275" i="44"/>
  <c r="M275" i="44"/>
  <c r="O275" i="44"/>
  <c r="Q275" i="44"/>
  <c r="S275" i="44"/>
  <c r="T275" i="44"/>
  <c r="U275" i="44"/>
  <c r="V275" i="44"/>
  <c r="W275" i="44"/>
  <c r="X275" i="44"/>
  <c r="K276" i="44"/>
  <c r="M276" i="44"/>
  <c r="O276" i="44"/>
  <c r="Q276" i="44"/>
  <c r="S276" i="44"/>
  <c r="T276" i="44"/>
  <c r="U276" i="44"/>
  <c r="V276" i="44"/>
  <c r="W276" i="44"/>
  <c r="X276" i="44"/>
  <c r="K277" i="44"/>
  <c r="M277" i="44"/>
  <c r="O277" i="44"/>
  <c r="Q277" i="44"/>
  <c r="S277" i="44"/>
  <c r="T277" i="44"/>
  <c r="U277" i="44"/>
  <c r="V277" i="44"/>
  <c r="W277" i="44"/>
  <c r="X277" i="44"/>
  <c r="K278" i="44"/>
  <c r="M278" i="44"/>
  <c r="O278" i="44"/>
  <c r="Q278" i="44"/>
  <c r="S278" i="44"/>
  <c r="T278" i="44"/>
  <c r="U278" i="44"/>
  <c r="V278" i="44"/>
  <c r="W278" i="44"/>
  <c r="X278" i="44"/>
  <c r="K279" i="44"/>
  <c r="M279" i="44"/>
  <c r="O279" i="44"/>
  <c r="Q279" i="44"/>
  <c r="S279" i="44"/>
  <c r="T279" i="44"/>
  <c r="U279" i="44"/>
  <c r="V279" i="44"/>
  <c r="W279" i="44"/>
  <c r="X279" i="44"/>
  <c r="K280" i="44"/>
  <c r="M280" i="44"/>
  <c r="O280" i="44"/>
  <c r="Q280" i="44"/>
  <c r="S280" i="44"/>
  <c r="T280" i="44"/>
  <c r="U280" i="44"/>
  <c r="V280" i="44"/>
  <c r="W280" i="44"/>
  <c r="X280" i="44"/>
  <c r="K281" i="44"/>
  <c r="M281" i="44"/>
  <c r="O281" i="44"/>
  <c r="Q281" i="44"/>
  <c r="S281" i="44"/>
  <c r="T281" i="44"/>
  <c r="U281" i="44"/>
  <c r="V281" i="44"/>
  <c r="W281" i="44"/>
  <c r="X281" i="44"/>
  <c r="K282" i="44"/>
  <c r="M282" i="44"/>
  <c r="O282" i="44"/>
  <c r="Q282" i="44"/>
  <c r="S282" i="44"/>
  <c r="T282" i="44"/>
  <c r="U282" i="44"/>
  <c r="V282" i="44"/>
  <c r="W282" i="44"/>
  <c r="X282" i="44"/>
  <c r="K283" i="44"/>
  <c r="M283" i="44"/>
  <c r="O283" i="44"/>
  <c r="Q283" i="44"/>
  <c r="S283" i="44"/>
  <c r="T283" i="44"/>
  <c r="U283" i="44"/>
  <c r="V283" i="44"/>
  <c r="W283" i="44"/>
  <c r="X283" i="44"/>
  <c r="K284" i="44"/>
  <c r="M284" i="44"/>
  <c r="O284" i="44"/>
  <c r="Q284" i="44"/>
  <c r="S284" i="44"/>
  <c r="T284" i="44"/>
  <c r="U284" i="44"/>
  <c r="V284" i="44"/>
  <c r="W284" i="44"/>
  <c r="X284" i="44"/>
  <c r="K285" i="44"/>
  <c r="M285" i="44"/>
  <c r="O285" i="44"/>
  <c r="Q285" i="44"/>
  <c r="S285" i="44"/>
  <c r="T285" i="44"/>
  <c r="U285" i="44"/>
  <c r="V285" i="44"/>
  <c r="W285" i="44"/>
  <c r="X285" i="44"/>
  <c r="K286" i="44"/>
  <c r="M286" i="44"/>
  <c r="O286" i="44"/>
  <c r="Q286" i="44"/>
  <c r="S286" i="44"/>
  <c r="T286" i="44"/>
  <c r="U286" i="44"/>
  <c r="V286" i="44"/>
  <c r="W286" i="44"/>
  <c r="X286" i="44"/>
  <c r="K287" i="44"/>
  <c r="M287" i="44"/>
  <c r="O287" i="44"/>
  <c r="Q287" i="44"/>
  <c r="S287" i="44"/>
  <c r="T287" i="44"/>
  <c r="U287" i="44"/>
  <c r="V287" i="44"/>
  <c r="W287" i="44"/>
  <c r="X287" i="44"/>
  <c r="K288" i="44"/>
  <c r="M288" i="44"/>
  <c r="O288" i="44"/>
  <c r="Q288" i="44"/>
  <c r="S288" i="44"/>
  <c r="T288" i="44"/>
  <c r="U288" i="44"/>
  <c r="V288" i="44"/>
  <c r="W288" i="44"/>
  <c r="X288" i="44"/>
  <c r="K289" i="44"/>
  <c r="M289" i="44"/>
  <c r="O289" i="44"/>
  <c r="Q289" i="44"/>
  <c r="S289" i="44"/>
  <c r="T289" i="44"/>
  <c r="U289" i="44"/>
  <c r="V289" i="44"/>
  <c r="W289" i="44"/>
  <c r="X289" i="44"/>
  <c r="K290" i="44"/>
  <c r="M290" i="44"/>
  <c r="O290" i="44"/>
  <c r="Q290" i="44"/>
  <c r="S290" i="44"/>
  <c r="T290" i="44"/>
  <c r="U290" i="44"/>
  <c r="V290" i="44"/>
  <c r="W290" i="44"/>
  <c r="X290" i="44"/>
  <c r="K291" i="44"/>
  <c r="M291" i="44"/>
  <c r="O291" i="44"/>
  <c r="Q291" i="44"/>
  <c r="S291" i="44"/>
  <c r="T291" i="44"/>
  <c r="U291" i="44"/>
  <c r="V291" i="44"/>
  <c r="W291" i="44"/>
  <c r="X291" i="44"/>
  <c r="K292" i="44"/>
  <c r="M292" i="44"/>
  <c r="O292" i="44"/>
  <c r="Q292" i="44"/>
  <c r="S292" i="44"/>
  <c r="T292" i="44"/>
  <c r="U292" i="44"/>
  <c r="V292" i="44"/>
  <c r="W292" i="44"/>
  <c r="X292" i="44"/>
  <c r="K293" i="44"/>
  <c r="M293" i="44"/>
  <c r="O293" i="44"/>
  <c r="Q293" i="44"/>
  <c r="S293" i="44"/>
  <c r="T293" i="44"/>
  <c r="U293" i="44"/>
  <c r="V293" i="44"/>
  <c r="W293" i="44"/>
  <c r="X293" i="44"/>
  <c r="K294" i="44"/>
  <c r="M294" i="44"/>
  <c r="O294" i="44"/>
  <c r="Q294" i="44"/>
  <c r="S294" i="44"/>
  <c r="T294" i="44"/>
  <c r="U294" i="44"/>
  <c r="V294" i="44"/>
  <c r="W294" i="44"/>
  <c r="X294" i="44"/>
  <c r="K295" i="44"/>
  <c r="M295" i="44"/>
  <c r="O295" i="44"/>
  <c r="Q295" i="44"/>
  <c r="S295" i="44"/>
  <c r="T295" i="44"/>
  <c r="U295" i="44"/>
  <c r="V295" i="44"/>
  <c r="W295" i="44"/>
  <c r="X295" i="44"/>
  <c r="K296" i="44"/>
  <c r="M296" i="44"/>
  <c r="O296" i="44"/>
  <c r="Q296" i="44"/>
  <c r="S296" i="44"/>
  <c r="T296" i="44"/>
  <c r="U296" i="44"/>
  <c r="V296" i="44"/>
  <c r="W296" i="44"/>
  <c r="X296" i="44"/>
  <c r="K297" i="44"/>
  <c r="M297" i="44"/>
  <c r="O297" i="44"/>
  <c r="Q297" i="44"/>
  <c r="S297" i="44"/>
  <c r="T297" i="44"/>
  <c r="U297" i="44"/>
  <c r="V297" i="44"/>
  <c r="W297" i="44"/>
  <c r="X297" i="44"/>
  <c r="K298" i="44"/>
  <c r="M298" i="44"/>
  <c r="O298" i="44"/>
  <c r="Q298" i="44"/>
  <c r="S298" i="44"/>
  <c r="T298" i="44"/>
  <c r="U298" i="44"/>
  <c r="V298" i="44"/>
  <c r="W298" i="44"/>
  <c r="X298" i="44"/>
  <c r="K299" i="44"/>
  <c r="M299" i="44"/>
  <c r="O299" i="44"/>
  <c r="Q299" i="44"/>
  <c r="S299" i="44"/>
  <c r="T299" i="44"/>
  <c r="U299" i="44"/>
  <c r="V299" i="44"/>
  <c r="W299" i="44"/>
  <c r="X299" i="44"/>
  <c r="K300" i="44"/>
  <c r="M300" i="44"/>
  <c r="O300" i="44"/>
  <c r="Q300" i="44"/>
  <c r="S300" i="44"/>
  <c r="T300" i="44"/>
  <c r="U300" i="44"/>
  <c r="V300" i="44"/>
  <c r="W300" i="44"/>
  <c r="X300" i="44"/>
  <c r="K301" i="44"/>
  <c r="M301" i="44"/>
  <c r="O301" i="44"/>
  <c r="Q301" i="44"/>
  <c r="S301" i="44"/>
  <c r="T301" i="44"/>
  <c r="U301" i="44"/>
  <c r="V301" i="44"/>
  <c r="W301" i="44"/>
  <c r="X301" i="44"/>
  <c r="K302" i="44"/>
  <c r="M302" i="44"/>
  <c r="O302" i="44"/>
  <c r="Q302" i="44"/>
  <c r="S302" i="44"/>
  <c r="T302" i="44"/>
  <c r="U302" i="44"/>
  <c r="V302" i="44"/>
  <c r="W302" i="44"/>
  <c r="X302" i="44"/>
  <c r="K303" i="44"/>
  <c r="M303" i="44"/>
  <c r="O303" i="44"/>
  <c r="Q303" i="44"/>
  <c r="S303" i="44"/>
  <c r="T303" i="44"/>
  <c r="U303" i="44"/>
  <c r="V303" i="44"/>
  <c r="W303" i="44"/>
  <c r="X303" i="44"/>
  <c r="K304" i="44"/>
  <c r="M304" i="44"/>
  <c r="O304" i="44"/>
  <c r="Q304" i="44"/>
  <c r="S304" i="44"/>
  <c r="T304" i="44"/>
  <c r="U304" i="44"/>
  <c r="V304" i="44"/>
  <c r="W304" i="44"/>
  <c r="X304" i="44"/>
  <c r="K305" i="44"/>
  <c r="M305" i="44"/>
  <c r="O305" i="44"/>
  <c r="Q305" i="44"/>
  <c r="S305" i="44"/>
  <c r="T305" i="44"/>
  <c r="U305" i="44"/>
  <c r="V305" i="44"/>
  <c r="W305" i="44"/>
  <c r="X305" i="44"/>
  <c r="K306" i="44"/>
  <c r="M306" i="44"/>
  <c r="O306" i="44"/>
  <c r="Q306" i="44"/>
  <c r="S306" i="44"/>
  <c r="T306" i="44"/>
  <c r="U306" i="44"/>
  <c r="V306" i="44"/>
  <c r="W306" i="44"/>
  <c r="X306" i="44"/>
  <c r="K307" i="44"/>
  <c r="M307" i="44"/>
  <c r="O307" i="44"/>
  <c r="Q307" i="44"/>
  <c r="S307" i="44"/>
  <c r="T307" i="44"/>
  <c r="U307" i="44"/>
  <c r="V307" i="44"/>
  <c r="W307" i="44"/>
  <c r="X307" i="44"/>
  <c r="K308" i="44"/>
  <c r="M308" i="44"/>
  <c r="O308" i="44"/>
  <c r="Q308" i="44"/>
  <c r="S308" i="44"/>
  <c r="T308" i="44"/>
  <c r="U308" i="44"/>
  <c r="V308" i="44"/>
  <c r="W308" i="44"/>
  <c r="X308" i="44"/>
  <c r="K309" i="44"/>
  <c r="M309" i="44"/>
  <c r="O309" i="44"/>
  <c r="Q309" i="44"/>
  <c r="S309" i="44"/>
  <c r="T309" i="44"/>
  <c r="U309" i="44"/>
  <c r="V309" i="44"/>
  <c r="W309" i="44"/>
  <c r="X309" i="44"/>
  <c r="K310" i="44"/>
  <c r="M310" i="44"/>
  <c r="O310" i="44"/>
  <c r="Q310" i="44"/>
  <c r="S310" i="44"/>
  <c r="T310" i="44"/>
  <c r="U310" i="44"/>
  <c r="V310" i="44"/>
  <c r="W310" i="44"/>
  <c r="X310" i="44"/>
  <c r="K311" i="44"/>
  <c r="M311" i="44"/>
  <c r="O311" i="44"/>
  <c r="Q311" i="44"/>
  <c r="S311" i="44"/>
  <c r="T311" i="44"/>
  <c r="U311" i="44"/>
  <c r="V311" i="44"/>
  <c r="W311" i="44"/>
  <c r="X311" i="44"/>
  <c r="K312" i="44"/>
  <c r="M312" i="44"/>
  <c r="O312" i="44"/>
  <c r="Q312" i="44"/>
  <c r="S312" i="44"/>
  <c r="T312" i="44"/>
  <c r="U312" i="44"/>
  <c r="V312" i="44"/>
  <c r="W312" i="44"/>
  <c r="X312" i="44"/>
  <c r="K313" i="44"/>
  <c r="M313" i="44"/>
  <c r="O313" i="44"/>
  <c r="Q313" i="44"/>
  <c r="S313" i="44"/>
  <c r="T313" i="44"/>
  <c r="U313" i="44"/>
  <c r="V313" i="44"/>
  <c r="W313" i="44"/>
  <c r="X313" i="44"/>
  <c r="K314" i="44"/>
  <c r="M314" i="44"/>
  <c r="O314" i="44"/>
  <c r="Q314" i="44"/>
  <c r="S314" i="44"/>
  <c r="T314" i="44"/>
  <c r="U314" i="44"/>
  <c r="V314" i="44"/>
  <c r="W314" i="44"/>
  <c r="X314" i="44"/>
  <c r="K315" i="44"/>
  <c r="M315" i="44"/>
  <c r="O315" i="44"/>
  <c r="Q315" i="44"/>
  <c r="S315" i="44"/>
  <c r="T315" i="44"/>
  <c r="U315" i="44"/>
  <c r="V315" i="44"/>
  <c r="W315" i="44"/>
  <c r="X315" i="44"/>
  <c r="K316" i="44"/>
  <c r="M316" i="44"/>
  <c r="O316" i="44"/>
  <c r="Q316" i="44"/>
  <c r="S316" i="44"/>
  <c r="T316" i="44"/>
  <c r="U316" i="44"/>
  <c r="V316" i="44"/>
  <c r="W316" i="44"/>
  <c r="X316" i="44"/>
  <c r="K317" i="44"/>
  <c r="M317" i="44"/>
  <c r="O317" i="44"/>
  <c r="Q317" i="44"/>
  <c r="S317" i="44"/>
  <c r="T317" i="44"/>
  <c r="U317" i="44"/>
  <c r="V317" i="44"/>
  <c r="W317" i="44"/>
  <c r="X317" i="44"/>
  <c r="K318" i="44"/>
  <c r="M318" i="44"/>
  <c r="O318" i="44"/>
  <c r="Q318" i="44"/>
  <c r="S318" i="44"/>
  <c r="T318" i="44"/>
  <c r="U318" i="44"/>
  <c r="V318" i="44"/>
  <c r="W318" i="44"/>
  <c r="X318" i="44"/>
  <c r="K319" i="44"/>
  <c r="M319" i="44"/>
  <c r="O319" i="44"/>
  <c r="Q319" i="44"/>
  <c r="S319" i="44"/>
  <c r="T319" i="44"/>
  <c r="U319" i="44"/>
  <c r="V319" i="44"/>
  <c r="W319" i="44"/>
  <c r="X319" i="44"/>
  <c r="K320" i="44"/>
  <c r="M320" i="44"/>
  <c r="O320" i="44"/>
  <c r="Q320" i="44"/>
  <c r="S320" i="44"/>
  <c r="T320" i="44"/>
  <c r="U320" i="44"/>
  <c r="V320" i="44"/>
  <c r="W320" i="44"/>
  <c r="X320" i="44"/>
  <c r="K321" i="44"/>
  <c r="M321" i="44"/>
  <c r="O321" i="44"/>
  <c r="Q321" i="44"/>
  <c r="S321" i="44"/>
  <c r="T321" i="44"/>
  <c r="U321" i="44"/>
  <c r="V321" i="44"/>
  <c r="W321" i="44"/>
  <c r="X321" i="44"/>
  <c r="K322" i="44"/>
  <c r="M322" i="44"/>
  <c r="O322" i="44"/>
  <c r="Q322" i="44"/>
  <c r="S322" i="44"/>
  <c r="T322" i="44"/>
  <c r="U322" i="44"/>
  <c r="V322" i="44"/>
  <c r="W322" i="44"/>
  <c r="X322" i="44"/>
  <c r="K323" i="44"/>
  <c r="M323" i="44"/>
  <c r="O323" i="44"/>
  <c r="Q323" i="44"/>
  <c r="S323" i="44"/>
  <c r="T323" i="44"/>
  <c r="U323" i="44"/>
  <c r="V323" i="44"/>
  <c r="W323" i="44"/>
  <c r="X323" i="44"/>
  <c r="K324" i="44"/>
  <c r="M324" i="44"/>
  <c r="O324" i="44"/>
  <c r="Q324" i="44"/>
  <c r="S324" i="44"/>
  <c r="T324" i="44"/>
  <c r="U324" i="44"/>
  <c r="V324" i="44"/>
  <c r="W324" i="44"/>
  <c r="X324" i="44"/>
  <c r="K325" i="44"/>
  <c r="M325" i="44"/>
  <c r="O325" i="44"/>
  <c r="Q325" i="44"/>
  <c r="S325" i="44"/>
  <c r="T325" i="44"/>
  <c r="U325" i="44"/>
  <c r="V325" i="44"/>
  <c r="W325" i="44"/>
  <c r="X325" i="44"/>
  <c r="K326" i="44"/>
  <c r="M326" i="44"/>
  <c r="O326" i="44"/>
  <c r="Q326" i="44"/>
  <c r="S326" i="44"/>
  <c r="T326" i="44"/>
  <c r="U326" i="44"/>
  <c r="V326" i="44"/>
  <c r="W326" i="44"/>
  <c r="X326" i="44"/>
  <c r="K327" i="44"/>
  <c r="M327" i="44"/>
  <c r="O327" i="44"/>
  <c r="Q327" i="44"/>
  <c r="S327" i="44"/>
  <c r="T327" i="44"/>
  <c r="U327" i="44"/>
  <c r="V327" i="44"/>
  <c r="W327" i="44"/>
  <c r="X327" i="44"/>
  <c r="K328" i="44"/>
  <c r="M328" i="44"/>
  <c r="O328" i="44"/>
  <c r="Q328" i="44"/>
  <c r="S328" i="44"/>
  <c r="T328" i="44"/>
  <c r="U328" i="44"/>
  <c r="V328" i="44"/>
  <c r="W328" i="44"/>
  <c r="X328" i="44"/>
  <c r="K329" i="44"/>
  <c r="M329" i="44"/>
  <c r="O329" i="44"/>
  <c r="Q329" i="44"/>
  <c r="S329" i="44"/>
  <c r="T329" i="44"/>
  <c r="U329" i="44"/>
  <c r="V329" i="44"/>
  <c r="W329" i="44"/>
  <c r="X329" i="44"/>
  <c r="K330" i="44"/>
  <c r="M330" i="44"/>
  <c r="O330" i="44"/>
  <c r="Q330" i="44"/>
  <c r="S330" i="44"/>
  <c r="T330" i="44"/>
  <c r="U330" i="44"/>
  <c r="V330" i="44"/>
  <c r="W330" i="44"/>
  <c r="X330" i="44"/>
  <c r="K331" i="44"/>
  <c r="M331" i="44"/>
  <c r="O331" i="44"/>
  <c r="Q331" i="44"/>
  <c r="S331" i="44"/>
  <c r="T331" i="44"/>
  <c r="U331" i="44"/>
  <c r="V331" i="44"/>
  <c r="W331" i="44"/>
  <c r="X331" i="44"/>
  <c r="K332" i="44"/>
  <c r="M332" i="44"/>
  <c r="O332" i="44"/>
  <c r="Q332" i="44"/>
  <c r="S332" i="44"/>
  <c r="T332" i="44"/>
  <c r="U332" i="44"/>
  <c r="V332" i="44"/>
  <c r="W332" i="44"/>
  <c r="X332" i="44"/>
  <c r="K333" i="44"/>
  <c r="M333" i="44"/>
  <c r="O333" i="44"/>
  <c r="Q333" i="44"/>
  <c r="S333" i="44"/>
  <c r="T333" i="44"/>
  <c r="U333" i="44"/>
  <c r="V333" i="44"/>
  <c r="W333" i="44"/>
  <c r="X333" i="44"/>
  <c r="K334" i="44"/>
  <c r="M334" i="44"/>
  <c r="O334" i="44"/>
  <c r="Q334" i="44"/>
  <c r="S334" i="44"/>
  <c r="T334" i="44"/>
  <c r="U334" i="44"/>
  <c r="V334" i="44"/>
  <c r="W334" i="44"/>
  <c r="X334" i="44"/>
  <c r="K335" i="44"/>
  <c r="M335" i="44"/>
  <c r="O335" i="44"/>
  <c r="Q335" i="44"/>
  <c r="S335" i="44"/>
  <c r="T335" i="44"/>
  <c r="U335" i="44"/>
  <c r="V335" i="44"/>
  <c r="W335" i="44"/>
  <c r="X335" i="44"/>
  <c r="K336" i="44"/>
  <c r="M336" i="44"/>
  <c r="O336" i="44"/>
  <c r="Q336" i="44"/>
  <c r="S336" i="44"/>
  <c r="T336" i="44"/>
  <c r="U336" i="44"/>
  <c r="V336" i="44"/>
  <c r="W336" i="44"/>
  <c r="X336" i="44"/>
  <c r="K337" i="44"/>
  <c r="M337" i="44"/>
  <c r="O337" i="44"/>
  <c r="Q337" i="44"/>
  <c r="S337" i="44"/>
  <c r="T337" i="44"/>
  <c r="U337" i="44"/>
  <c r="V337" i="44"/>
  <c r="W337" i="44"/>
  <c r="X337" i="44"/>
  <c r="K338" i="44"/>
  <c r="M338" i="44"/>
  <c r="O338" i="44"/>
  <c r="Q338" i="44"/>
  <c r="S338" i="44"/>
  <c r="T338" i="44"/>
  <c r="U338" i="44"/>
  <c r="V338" i="44"/>
  <c r="W338" i="44"/>
  <c r="X338" i="44"/>
  <c r="K339" i="44"/>
  <c r="M339" i="44"/>
  <c r="O339" i="44"/>
  <c r="Q339" i="44"/>
  <c r="S339" i="44"/>
  <c r="T339" i="44"/>
  <c r="U339" i="44"/>
  <c r="V339" i="44"/>
  <c r="W339" i="44"/>
  <c r="X339" i="44"/>
  <c r="K340" i="44"/>
  <c r="M340" i="44"/>
  <c r="O340" i="44"/>
  <c r="Q340" i="44"/>
  <c r="S340" i="44"/>
  <c r="T340" i="44"/>
  <c r="U340" i="44"/>
  <c r="V340" i="44"/>
  <c r="W340" i="44"/>
  <c r="X340" i="44"/>
  <c r="K341" i="44"/>
  <c r="M341" i="44"/>
  <c r="O341" i="44"/>
  <c r="Q341" i="44"/>
  <c r="S341" i="44"/>
  <c r="T341" i="44"/>
  <c r="U341" i="44"/>
  <c r="V341" i="44"/>
  <c r="W341" i="44"/>
  <c r="X341" i="44"/>
  <c r="K342" i="44"/>
  <c r="M342" i="44"/>
  <c r="O342" i="44"/>
  <c r="Q342" i="44"/>
  <c r="S342" i="44"/>
  <c r="T342" i="44"/>
  <c r="U342" i="44"/>
  <c r="V342" i="44"/>
  <c r="W342" i="44"/>
  <c r="X342" i="44"/>
  <c r="K343" i="44"/>
  <c r="M343" i="44"/>
  <c r="O343" i="44"/>
  <c r="Q343" i="44"/>
  <c r="S343" i="44"/>
  <c r="T343" i="44"/>
  <c r="U343" i="44"/>
  <c r="V343" i="44"/>
  <c r="W343" i="44"/>
  <c r="X343" i="44"/>
  <c r="K344" i="44"/>
  <c r="M344" i="44"/>
  <c r="O344" i="44"/>
  <c r="Q344" i="44"/>
  <c r="S344" i="44"/>
  <c r="T344" i="44"/>
  <c r="U344" i="44"/>
  <c r="V344" i="44"/>
  <c r="W344" i="44"/>
  <c r="X344" i="44"/>
  <c r="K345" i="44"/>
  <c r="M345" i="44"/>
  <c r="O345" i="44"/>
  <c r="Q345" i="44"/>
  <c r="S345" i="44"/>
  <c r="T345" i="44"/>
  <c r="U345" i="44"/>
  <c r="V345" i="44"/>
  <c r="W345" i="44"/>
  <c r="X345" i="44"/>
  <c r="K346" i="44"/>
  <c r="M346" i="44"/>
  <c r="O346" i="44"/>
  <c r="Q346" i="44"/>
  <c r="S346" i="44"/>
  <c r="T346" i="44"/>
  <c r="U346" i="44"/>
  <c r="V346" i="44"/>
  <c r="W346" i="44"/>
  <c r="X346" i="44"/>
  <c r="K347" i="44"/>
  <c r="M347" i="44"/>
  <c r="O347" i="44"/>
  <c r="Q347" i="44"/>
  <c r="S347" i="44"/>
  <c r="T347" i="44"/>
  <c r="U347" i="44"/>
  <c r="V347" i="44"/>
  <c r="W347" i="44"/>
  <c r="X347" i="44"/>
  <c r="K348" i="44"/>
  <c r="M348" i="44"/>
  <c r="O348" i="44"/>
  <c r="Q348" i="44"/>
  <c r="S348" i="44"/>
  <c r="T348" i="44"/>
  <c r="U348" i="44"/>
  <c r="V348" i="44"/>
  <c r="W348" i="44"/>
  <c r="X348" i="44"/>
  <c r="K349" i="44"/>
  <c r="M349" i="44"/>
  <c r="O349" i="44"/>
  <c r="Q349" i="44"/>
  <c r="S349" i="44"/>
  <c r="T349" i="44"/>
  <c r="U349" i="44"/>
  <c r="V349" i="44"/>
  <c r="W349" i="44"/>
  <c r="X349" i="44"/>
  <c r="K350" i="44"/>
  <c r="M350" i="44"/>
  <c r="O350" i="44"/>
  <c r="Q350" i="44"/>
  <c r="S350" i="44"/>
  <c r="T350" i="44"/>
  <c r="U350" i="44"/>
  <c r="V350" i="44"/>
  <c r="W350" i="44"/>
  <c r="X350" i="44"/>
  <c r="K351" i="44"/>
  <c r="M351" i="44"/>
  <c r="O351" i="44"/>
  <c r="Q351" i="44"/>
  <c r="S351" i="44"/>
  <c r="T351" i="44"/>
  <c r="U351" i="44"/>
  <c r="V351" i="44"/>
  <c r="W351" i="44"/>
  <c r="X351" i="44"/>
  <c r="K352" i="44"/>
  <c r="M352" i="44"/>
  <c r="O352" i="44"/>
  <c r="Q352" i="44"/>
  <c r="S352" i="44"/>
  <c r="T352" i="44"/>
  <c r="U352" i="44"/>
  <c r="V352" i="44"/>
  <c r="W352" i="44"/>
  <c r="X352" i="44"/>
  <c r="K353" i="44"/>
  <c r="M353" i="44"/>
  <c r="O353" i="44"/>
  <c r="Q353" i="44"/>
  <c r="S353" i="44"/>
  <c r="T353" i="44"/>
  <c r="U353" i="44"/>
  <c r="V353" i="44"/>
  <c r="W353" i="44"/>
  <c r="X353" i="44"/>
  <c r="K354" i="44"/>
  <c r="M354" i="44"/>
  <c r="O354" i="44"/>
  <c r="Q354" i="44"/>
  <c r="S354" i="44"/>
  <c r="T354" i="44"/>
  <c r="U354" i="44"/>
  <c r="V354" i="44"/>
  <c r="W354" i="44"/>
  <c r="X354" i="44"/>
  <c r="K355" i="44"/>
  <c r="M355" i="44"/>
  <c r="O355" i="44"/>
  <c r="Q355" i="44"/>
  <c r="S355" i="44"/>
  <c r="T355" i="44"/>
  <c r="U355" i="44"/>
  <c r="V355" i="44"/>
  <c r="W355" i="44"/>
  <c r="X355" i="44"/>
  <c r="K356" i="44"/>
  <c r="M356" i="44"/>
  <c r="O356" i="44"/>
  <c r="Q356" i="44"/>
  <c r="S356" i="44"/>
  <c r="T356" i="44"/>
  <c r="U356" i="44"/>
  <c r="V356" i="44"/>
  <c r="W356" i="44"/>
  <c r="X356" i="44"/>
  <c r="K357" i="44"/>
  <c r="M357" i="44"/>
  <c r="O357" i="44"/>
  <c r="Q357" i="44"/>
  <c r="S357" i="44"/>
  <c r="T357" i="44"/>
  <c r="U357" i="44"/>
  <c r="V357" i="44"/>
  <c r="W357" i="44"/>
  <c r="X357" i="44"/>
  <c r="K358" i="44"/>
  <c r="M358" i="44"/>
  <c r="O358" i="44"/>
  <c r="Q358" i="44"/>
  <c r="S358" i="44"/>
  <c r="T358" i="44"/>
  <c r="U358" i="44"/>
  <c r="V358" i="44"/>
  <c r="W358" i="44"/>
  <c r="X358" i="44"/>
  <c r="K359" i="44"/>
  <c r="M359" i="44"/>
  <c r="O359" i="44"/>
  <c r="Q359" i="44"/>
  <c r="S359" i="44"/>
  <c r="T359" i="44"/>
  <c r="U359" i="44"/>
  <c r="V359" i="44"/>
  <c r="W359" i="44"/>
  <c r="X359" i="44"/>
  <c r="K360" i="44"/>
  <c r="M360" i="44"/>
  <c r="O360" i="44"/>
  <c r="Q360" i="44"/>
  <c r="S360" i="44"/>
  <c r="T360" i="44"/>
  <c r="U360" i="44"/>
  <c r="V360" i="44"/>
  <c r="W360" i="44"/>
  <c r="X360" i="44"/>
  <c r="K361" i="44"/>
  <c r="M361" i="44"/>
  <c r="O361" i="44"/>
  <c r="Q361" i="44"/>
  <c r="S361" i="44"/>
  <c r="T361" i="44"/>
  <c r="U361" i="44"/>
  <c r="V361" i="44"/>
  <c r="W361" i="44"/>
  <c r="X361" i="44"/>
  <c r="K362" i="44"/>
  <c r="M362" i="44"/>
  <c r="O362" i="44"/>
  <c r="Q362" i="44"/>
  <c r="S362" i="44"/>
  <c r="T362" i="44"/>
  <c r="U362" i="44"/>
  <c r="V362" i="44"/>
  <c r="W362" i="44"/>
  <c r="X362" i="44"/>
  <c r="K363" i="44"/>
  <c r="M363" i="44"/>
  <c r="O363" i="44"/>
  <c r="Q363" i="44"/>
  <c r="S363" i="44"/>
  <c r="T363" i="44"/>
  <c r="U363" i="44"/>
  <c r="V363" i="44"/>
  <c r="W363" i="44"/>
  <c r="X363" i="44"/>
  <c r="K364" i="44"/>
  <c r="M364" i="44"/>
  <c r="O364" i="44"/>
  <c r="Q364" i="44"/>
  <c r="S364" i="44"/>
  <c r="T364" i="44"/>
  <c r="U364" i="44"/>
  <c r="V364" i="44"/>
  <c r="W364" i="44"/>
  <c r="X364" i="44"/>
  <c r="K365" i="44"/>
  <c r="M365" i="44"/>
  <c r="O365" i="44"/>
  <c r="Q365" i="44"/>
  <c r="S365" i="44"/>
  <c r="T365" i="44"/>
  <c r="U365" i="44"/>
  <c r="V365" i="44"/>
  <c r="W365" i="44"/>
  <c r="X365" i="44"/>
  <c r="K366" i="44"/>
  <c r="M366" i="44"/>
  <c r="O366" i="44"/>
  <c r="Q366" i="44"/>
  <c r="S366" i="44"/>
  <c r="T366" i="44"/>
  <c r="U366" i="44"/>
  <c r="V366" i="44"/>
  <c r="W366" i="44"/>
  <c r="X366" i="44"/>
  <c r="K367" i="44"/>
  <c r="M367" i="44"/>
  <c r="O367" i="44"/>
  <c r="Q367" i="44"/>
  <c r="S367" i="44"/>
  <c r="T367" i="44"/>
  <c r="U367" i="44"/>
  <c r="V367" i="44"/>
  <c r="W367" i="44"/>
  <c r="X367" i="44"/>
  <c r="K368" i="44"/>
  <c r="M368" i="44"/>
  <c r="O368" i="44"/>
  <c r="Q368" i="44"/>
  <c r="S368" i="44"/>
  <c r="T368" i="44"/>
  <c r="U368" i="44"/>
  <c r="V368" i="44"/>
  <c r="W368" i="44"/>
  <c r="X368" i="44"/>
  <c r="X366" i="43"/>
  <c r="W366" i="43"/>
  <c r="V366" i="43"/>
  <c r="U366" i="43"/>
  <c r="T366" i="43"/>
  <c r="S366" i="43"/>
  <c r="Q366" i="43"/>
  <c r="O366" i="43"/>
  <c r="M366" i="43"/>
  <c r="K366" i="43"/>
  <c r="X365" i="43"/>
  <c r="W365" i="43"/>
  <c r="V365" i="43"/>
  <c r="U365" i="43"/>
  <c r="T365" i="43"/>
  <c r="S365" i="43"/>
  <c r="Q365" i="43"/>
  <c r="O365" i="43"/>
  <c r="M365" i="43"/>
  <c r="K365" i="43"/>
  <c r="X364" i="43"/>
  <c r="W364" i="43"/>
  <c r="V364" i="43"/>
  <c r="U364" i="43"/>
  <c r="T364" i="43"/>
  <c r="S364" i="43"/>
  <c r="Q364" i="43"/>
  <c r="O364" i="43"/>
  <c r="M364" i="43"/>
  <c r="K364" i="43"/>
  <c r="X363" i="43"/>
  <c r="W363" i="43"/>
  <c r="V363" i="43"/>
  <c r="U363" i="43"/>
  <c r="T363" i="43"/>
  <c r="S363" i="43"/>
  <c r="Q363" i="43"/>
  <c r="O363" i="43"/>
  <c r="M363" i="43"/>
  <c r="K363" i="43"/>
  <c r="X362" i="43"/>
  <c r="W362" i="43"/>
  <c r="V362" i="43"/>
  <c r="U362" i="43"/>
  <c r="T362" i="43"/>
  <c r="S362" i="43"/>
  <c r="Q362" i="43"/>
  <c r="O362" i="43"/>
  <c r="M362" i="43"/>
  <c r="K362" i="43"/>
  <c r="X361" i="43"/>
  <c r="W361" i="43"/>
  <c r="V361" i="43"/>
  <c r="U361" i="43"/>
  <c r="T361" i="43"/>
  <c r="S361" i="43"/>
  <c r="Q361" i="43"/>
  <c r="O361" i="43"/>
  <c r="M361" i="43"/>
  <c r="K361" i="43"/>
  <c r="X360" i="43"/>
  <c r="W360" i="43"/>
  <c r="V360" i="43"/>
  <c r="U360" i="43"/>
  <c r="T360" i="43"/>
  <c r="S360" i="43"/>
  <c r="Q360" i="43"/>
  <c r="O360" i="43"/>
  <c r="M360" i="43"/>
  <c r="K360" i="43"/>
  <c r="X359" i="43"/>
  <c r="W359" i="43"/>
  <c r="V359" i="43"/>
  <c r="U359" i="43"/>
  <c r="T359" i="43"/>
  <c r="S359" i="43"/>
  <c r="Q359" i="43"/>
  <c r="O359" i="43"/>
  <c r="M359" i="43"/>
  <c r="K359" i="43"/>
  <c r="X358" i="43"/>
  <c r="W358" i="43"/>
  <c r="V358" i="43"/>
  <c r="U358" i="43"/>
  <c r="T358" i="43"/>
  <c r="S358" i="43"/>
  <c r="Q358" i="43"/>
  <c r="O358" i="43"/>
  <c r="M358" i="43"/>
  <c r="K358" i="43"/>
  <c r="X357" i="43"/>
  <c r="W357" i="43"/>
  <c r="V357" i="43"/>
  <c r="U357" i="43"/>
  <c r="T357" i="43"/>
  <c r="S357" i="43"/>
  <c r="Q357" i="43"/>
  <c r="O357" i="43"/>
  <c r="M357" i="43"/>
  <c r="K357" i="43"/>
  <c r="X356" i="43"/>
  <c r="W356" i="43"/>
  <c r="V356" i="43"/>
  <c r="U356" i="43"/>
  <c r="T356" i="43"/>
  <c r="S356" i="43"/>
  <c r="Q356" i="43"/>
  <c r="O356" i="43"/>
  <c r="M356" i="43"/>
  <c r="K356" i="43"/>
  <c r="X355" i="43"/>
  <c r="W355" i="43"/>
  <c r="V355" i="43"/>
  <c r="U355" i="43"/>
  <c r="T355" i="43"/>
  <c r="S355" i="43"/>
  <c r="Q355" i="43"/>
  <c r="O355" i="43"/>
  <c r="M355" i="43"/>
  <c r="K355" i="43"/>
  <c r="X354" i="43"/>
  <c r="W354" i="43"/>
  <c r="V354" i="43"/>
  <c r="U354" i="43"/>
  <c r="T354" i="43"/>
  <c r="S354" i="43"/>
  <c r="Q354" i="43"/>
  <c r="O354" i="43"/>
  <c r="M354" i="43"/>
  <c r="K354" i="43"/>
  <c r="X353" i="43"/>
  <c r="W353" i="43"/>
  <c r="V353" i="43"/>
  <c r="U353" i="43"/>
  <c r="T353" i="43"/>
  <c r="S353" i="43"/>
  <c r="Q353" i="43"/>
  <c r="O353" i="43"/>
  <c r="M353" i="43"/>
  <c r="K353" i="43"/>
  <c r="X352" i="43"/>
  <c r="W352" i="43"/>
  <c r="V352" i="43"/>
  <c r="U352" i="43"/>
  <c r="T352" i="43"/>
  <c r="S352" i="43"/>
  <c r="Q352" i="43"/>
  <c r="O352" i="43"/>
  <c r="M352" i="43"/>
  <c r="K352" i="43"/>
  <c r="X351" i="43"/>
  <c r="W351" i="43"/>
  <c r="V351" i="43"/>
  <c r="U351" i="43"/>
  <c r="T351" i="43"/>
  <c r="S351" i="43"/>
  <c r="Q351" i="43"/>
  <c r="O351" i="43"/>
  <c r="M351" i="43"/>
  <c r="K351" i="43"/>
  <c r="X350" i="43"/>
  <c r="W350" i="43"/>
  <c r="V350" i="43"/>
  <c r="U350" i="43"/>
  <c r="T350" i="43"/>
  <c r="S350" i="43"/>
  <c r="Q350" i="43"/>
  <c r="O350" i="43"/>
  <c r="M350" i="43"/>
  <c r="K350" i="43"/>
  <c r="X349" i="43"/>
  <c r="W349" i="43"/>
  <c r="V349" i="43"/>
  <c r="U349" i="43"/>
  <c r="T349" i="43"/>
  <c r="S349" i="43"/>
  <c r="Q349" i="43"/>
  <c r="O349" i="43"/>
  <c r="M349" i="43"/>
  <c r="K349" i="43"/>
  <c r="X348" i="43"/>
  <c r="W348" i="43"/>
  <c r="V348" i="43"/>
  <c r="U348" i="43"/>
  <c r="T348" i="43"/>
  <c r="S348" i="43"/>
  <c r="Q348" i="43"/>
  <c r="O348" i="43"/>
  <c r="M348" i="43"/>
  <c r="K348" i="43"/>
  <c r="X347" i="43"/>
  <c r="W347" i="43"/>
  <c r="V347" i="43"/>
  <c r="U347" i="43"/>
  <c r="T347" i="43"/>
  <c r="S347" i="43"/>
  <c r="Q347" i="43"/>
  <c r="O347" i="43"/>
  <c r="M347" i="43"/>
  <c r="K347" i="43"/>
  <c r="X346" i="43"/>
  <c r="W346" i="43"/>
  <c r="V346" i="43"/>
  <c r="U346" i="43"/>
  <c r="T346" i="43"/>
  <c r="S346" i="43"/>
  <c r="Q346" i="43"/>
  <c r="O346" i="43"/>
  <c r="M346" i="43"/>
  <c r="K346" i="43"/>
  <c r="X345" i="43"/>
  <c r="W345" i="43"/>
  <c r="V345" i="43"/>
  <c r="U345" i="43"/>
  <c r="T345" i="43"/>
  <c r="S345" i="43"/>
  <c r="Q345" i="43"/>
  <c r="O345" i="43"/>
  <c r="M345" i="43"/>
  <c r="K345" i="43"/>
  <c r="X344" i="43"/>
  <c r="W344" i="43"/>
  <c r="V344" i="43"/>
  <c r="U344" i="43"/>
  <c r="T344" i="43"/>
  <c r="S344" i="43"/>
  <c r="Q344" i="43"/>
  <c r="O344" i="43"/>
  <c r="M344" i="43"/>
  <c r="K344" i="43"/>
  <c r="X343" i="43"/>
  <c r="W343" i="43"/>
  <c r="V343" i="43"/>
  <c r="U343" i="43"/>
  <c r="T343" i="43"/>
  <c r="S343" i="43"/>
  <c r="Q343" i="43"/>
  <c r="O343" i="43"/>
  <c r="M343" i="43"/>
  <c r="K343" i="43"/>
  <c r="X342" i="43"/>
  <c r="W342" i="43"/>
  <c r="V342" i="43"/>
  <c r="U342" i="43"/>
  <c r="T342" i="43"/>
  <c r="S342" i="43"/>
  <c r="Q342" i="43"/>
  <c r="O342" i="43"/>
  <c r="M342" i="43"/>
  <c r="K342" i="43"/>
  <c r="X341" i="43"/>
  <c r="W341" i="43"/>
  <c r="V341" i="43"/>
  <c r="U341" i="43"/>
  <c r="T341" i="43"/>
  <c r="S341" i="43"/>
  <c r="Q341" i="43"/>
  <c r="O341" i="43"/>
  <c r="M341" i="43"/>
  <c r="K341" i="43"/>
  <c r="X340" i="43"/>
  <c r="W340" i="43"/>
  <c r="V340" i="43"/>
  <c r="U340" i="43"/>
  <c r="T340" i="43"/>
  <c r="S340" i="43"/>
  <c r="Q340" i="43"/>
  <c r="O340" i="43"/>
  <c r="M340" i="43"/>
  <c r="K340" i="43"/>
  <c r="X339" i="43"/>
  <c r="W339" i="43"/>
  <c r="V339" i="43"/>
  <c r="U339" i="43"/>
  <c r="T339" i="43"/>
  <c r="S339" i="43"/>
  <c r="Q339" i="43"/>
  <c r="O339" i="43"/>
  <c r="M339" i="43"/>
  <c r="K339" i="43"/>
  <c r="X338" i="43"/>
  <c r="W338" i="43"/>
  <c r="V338" i="43"/>
  <c r="U338" i="43"/>
  <c r="T338" i="43"/>
  <c r="S338" i="43"/>
  <c r="Q338" i="43"/>
  <c r="O338" i="43"/>
  <c r="M338" i="43"/>
  <c r="K338" i="43"/>
  <c r="X337" i="43"/>
  <c r="W337" i="43"/>
  <c r="V337" i="43"/>
  <c r="U337" i="43"/>
  <c r="T337" i="43"/>
  <c r="S337" i="43"/>
  <c r="Q337" i="43"/>
  <c r="O337" i="43"/>
  <c r="M337" i="43"/>
  <c r="K337" i="43"/>
  <c r="X336" i="43"/>
  <c r="W336" i="43"/>
  <c r="V336" i="43"/>
  <c r="U336" i="43"/>
  <c r="T336" i="43"/>
  <c r="S336" i="43"/>
  <c r="Q336" i="43"/>
  <c r="O336" i="43"/>
  <c r="M336" i="43"/>
  <c r="K336" i="43"/>
  <c r="X335" i="43"/>
  <c r="W335" i="43"/>
  <c r="V335" i="43"/>
  <c r="U335" i="43"/>
  <c r="T335" i="43"/>
  <c r="S335" i="43"/>
  <c r="Q335" i="43"/>
  <c r="O335" i="43"/>
  <c r="M335" i="43"/>
  <c r="K335" i="43"/>
  <c r="X334" i="43"/>
  <c r="W334" i="43"/>
  <c r="V334" i="43"/>
  <c r="U334" i="43"/>
  <c r="T334" i="43"/>
  <c r="S334" i="43"/>
  <c r="Q334" i="43"/>
  <c r="O334" i="43"/>
  <c r="M334" i="43"/>
  <c r="K334" i="43"/>
  <c r="X333" i="43"/>
  <c r="W333" i="43"/>
  <c r="V333" i="43"/>
  <c r="U333" i="43"/>
  <c r="T333" i="43"/>
  <c r="S333" i="43"/>
  <c r="Q333" i="43"/>
  <c r="O333" i="43"/>
  <c r="M333" i="43"/>
  <c r="K333" i="43"/>
  <c r="X332" i="43"/>
  <c r="W332" i="43"/>
  <c r="V332" i="43"/>
  <c r="U332" i="43"/>
  <c r="T332" i="43"/>
  <c r="S332" i="43"/>
  <c r="Q332" i="43"/>
  <c r="O332" i="43"/>
  <c r="M332" i="43"/>
  <c r="K332" i="43"/>
  <c r="X331" i="43"/>
  <c r="W331" i="43"/>
  <c r="V331" i="43"/>
  <c r="U331" i="43"/>
  <c r="T331" i="43"/>
  <c r="S331" i="43"/>
  <c r="Q331" i="43"/>
  <c r="O331" i="43"/>
  <c r="M331" i="43"/>
  <c r="K331" i="43"/>
  <c r="X330" i="43"/>
  <c r="W330" i="43"/>
  <c r="V330" i="43"/>
  <c r="U330" i="43"/>
  <c r="T330" i="43"/>
  <c r="S330" i="43"/>
  <c r="Q330" i="43"/>
  <c r="O330" i="43"/>
  <c r="M330" i="43"/>
  <c r="K330" i="43"/>
  <c r="X329" i="43"/>
  <c r="W329" i="43"/>
  <c r="V329" i="43"/>
  <c r="U329" i="43"/>
  <c r="T329" i="43"/>
  <c r="S329" i="43"/>
  <c r="Q329" i="43"/>
  <c r="O329" i="43"/>
  <c r="M329" i="43"/>
  <c r="K329" i="43"/>
  <c r="X328" i="43"/>
  <c r="W328" i="43"/>
  <c r="V328" i="43"/>
  <c r="U328" i="43"/>
  <c r="T328" i="43"/>
  <c r="S328" i="43"/>
  <c r="Q328" i="43"/>
  <c r="O328" i="43"/>
  <c r="M328" i="43"/>
  <c r="K328" i="43"/>
  <c r="X327" i="43"/>
  <c r="W327" i="43"/>
  <c r="V327" i="43"/>
  <c r="U327" i="43"/>
  <c r="T327" i="43"/>
  <c r="S327" i="43"/>
  <c r="Q327" i="43"/>
  <c r="O327" i="43"/>
  <c r="M327" i="43"/>
  <c r="K327" i="43"/>
  <c r="X326" i="43"/>
  <c r="W326" i="43"/>
  <c r="V326" i="43"/>
  <c r="U326" i="43"/>
  <c r="T326" i="43"/>
  <c r="S326" i="43"/>
  <c r="Q326" i="43"/>
  <c r="O326" i="43"/>
  <c r="M326" i="43"/>
  <c r="K326" i="43"/>
  <c r="X325" i="43"/>
  <c r="W325" i="43"/>
  <c r="V325" i="43"/>
  <c r="U325" i="43"/>
  <c r="T325" i="43"/>
  <c r="S325" i="43"/>
  <c r="Q325" i="43"/>
  <c r="O325" i="43"/>
  <c r="M325" i="43"/>
  <c r="K325" i="43"/>
  <c r="X324" i="43"/>
  <c r="W324" i="43"/>
  <c r="V324" i="43"/>
  <c r="U324" i="43"/>
  <c r="T324" i="43"/>
  <c r="S324" i="43"/>
  <c r="Q324" i="43"/>
  <c r="O324" i="43"/>
  <c r="M324" i="43"/>
  <c r="K324" i="43"/>
  <c r="X323" i="43"/>
  <c r="W323" i="43"/>
  <c r="V323" i="43"/>
  <c r="U323" i="43"/>
  <c r="T323" i="43"/>
  <c r="S323" i="43"/>
  <c r="Q323" i="43"/>
  <c r="O323" i="43"/>
  <c r="M323" i="43"/>
  <c r="K323" i="43"/>
  <c r="X322" i="43"/>
  <c r="W322" i="43"/>
  <c r="V322" i="43"/>
  <c r="U322" i="43"/>
  <c r="T322" i="43"/>
  <c r="S322" i="43"/>
  <c r="Q322" i="43"/>
  <c r="O322" i="43"/>
  <c r="M322" i="43"/>
  <c r="K322" i="43"/>
  <c r="X321" i="43"/>
  <c r="W321" i="43"/>
  <c r="V321" i="43"/>
  <c r="U321" i="43"/>
  <c r="T321" i="43"/>
  <c r="S321" i="43"/>
  <c r="Q321" i="43"/>
  <c r="O321" i="43"/>
  <c r="M321" i="43"/>
  <c r="K321" i="43"/>
  <c r="X320" i="43"/>
  <c r="W320" i="43"/>
  <c r="V320" i="43"/>
  <c r="U320" i="43"/>
  <c r="T320" i="43"/>
  <c r="S320" i="43"/>
  <c r="Q320" i="43"/>
  <c r="O320" i="43"/>
  <c r="M320" i="43"/>
  <c r="K320" i="43"/>
  <c r="X319" i="43"/>
  <c r="W319" i="43"/>
  <c r="V319" i="43"/>
  <c r="U319" i="43"/>
  <c r="T319" i="43"/>
  <c r="S319" i="43"/>
  <c r="Q319" i="43"/>
  <c r="O319" i="43"/>
  <c r="M319" i="43"/>
  <c r="K319" i="43"/>
  <c r="X318" i="43"/>
  <c r="W318" i="43"/>
  <c r="V318" i="43"/>
  <c r="U318" i="43"/>
  <c r="T318" i="43"/>
  <c r="S318" i="43"/>
  <c r="Q318" i="43"/>
  <c r="O318" i="43"/>
  <c r="M318" i="43"/>
  <c r="K318" i="43"/>
  <c r="X317" i="43"/>
  <c r="W317" i="43"/>
  <c r="V317" i="43"/>
  <c r="U317" i="43"/>
  <c r="T317" i="43"/>
  <c r="S317" i="43"/>
  <c r="Q317" i="43"/>
  <c r="O317" i="43"/>
  <c r="M317" i="43"/>
  <c r="K317" i="43"/>
  <c r="X316" i="43"/>
  <c r="W316" i="43"/>
  <c r="V316" i="43"/>
  <c r="U316" i="43"/>
  <c r="T316" i="43"/>
  <c r="S316" i="43"/>
  <c r="Q316" i="43"/>
  <c r="O316" i="43"/>
  <c r="M316" i="43"/>
  <c r="K316" i="43"/>
  <c r="X315" i="43"/>
  <c r="W315" i="43"/>
  <c r="V315" i="43"/>
  <c r="U315" i="43"/>
  <c r="T315" i="43"/>
  <c r="S315" i="43"/>
  <c r="Q315" i="43"/>
  <c r="O315" i="43"/>
  <c r="M315" i="43"/>
  <c r="K315" i="43"/>
  <c r="X314" i="43"/>
  <c r="W314" i="43"/>
  <c r="V314" i="43"/>
  <c r="U314" i="43"/>
  <c r="T314" i="43"/>
  <c r="S314" i="43"/>
  <c r="Q314" i="43"/>
  <c r="O314" i="43"/>
  <c r="M314" i="43"/>
  <c r="K314" i="43"/>
  <c r="X313" i="43"/>
  <c r="W313" i="43"/>
  <c r="V313" i="43"/>
  <c r="U313" i="43"/>
  <c r="T313" i="43"/>
  <c r="S313" i="43"/>
  <c r="Q313" i="43"/>
  <c r="O313" i="43"/>
  <c r="M313" i="43"/>
  <c r="K313" i="43"/>
  <c r="X312" i="43"/>
  <c r="W312" i="43"/>
  <c r="V312" i="43"/>
  <c r="U312" i="43"/>
  <c r="T312" i="43"/>
  <c r="S312" i="43"/>
  <c r="Q312" i="43"/>
  <c r="O312" i="43"/>
  <c r="M312" i="43"/>
  <c r="K312" i="43"/>
  <c r="X311" i="43"/>
  <c r="W311" i="43"/>
  <c r="V311" i="43"/>
  <c r="U311" i="43"/>
  <c r="T311" i="43"/>
  <c r="S311" i="43"/>
  <c r="Q311" i="43"/>
  <c r="O311" i="43"/>
  <c r="M311" i="43"/>
  <c r="K311" i="43"/>
  <c r="X310" i="43"/>
  <c r="W310" i="43"/>
  <c r="V310" i="43"/>
  <c r="U310" i="43"/>
  <c r="T310" i="43"/>
  <c r="S310" i="43"/>
  <c r="Q310" i="43"/>
  <c r="O310" i="43"/>
  <c r="M310" i="43"/>
  <c r="K310" i="43"/>
  <c r="X309" i="43"/>
  <c r="W309" i="43"/>
  <c r="V309" i="43"/>
  <c r="U309" i="43"/>
  <c r="T309" i="43"/>
  <c r="S309" i="43"/>
  <c r="Q309" i="43"/>
  <c r="O309" i="43"/>
  <c r="M309" i="43"/>
  <c r="K309" i="43"/>
  <c r="X308" i="43"/>
  <c r="W308" i="43"/>
  <c r="V308" i="43"/>
  <c r="U308" i="43"/>
  <c r="T308" i="43"/>
  <c r="S308" i="43"/>
  <c r="Q308" i="43"/>
  <c r="O308" i="43"/>
  <c r="M308" i="43"/>
  <c r="K308" i="43"/>
  <c r="X307" i="43"/>
  <c r="W307" i="43"/>
  <c r="V307" i="43"/>
  <c r="U307" i="43"/>
  <c r="T307" i="43"/>
  <c r="S307" i="43"/>
  <c r="Q307" i="43"/>
  <c r="O307" i="43"/>
  <c r="M307" i="43"/>
  <c r="K307" i="43"/>
  <c r="X306" i="43"/>
  <c r="W306" i="43"/>
  <c r="V306" i="43"/>
  <c r="U306" i="43"/>
  <c r="T306" i="43"/>
  <c r="S306" i="43"/>
  <c r="Q306" i="43"/>
  <c r="O306" i="43"/>
  <c r="M306" i="43"/>
  <c r="K306" i="43"/>
  <c r="X305" i="43"/>
  <c r="W305" i="43"/>
  <c r="V305" i="43"/>
  <c r="U305" i="43"/>
  <c r="T305" i="43"/>
  <c r="S305" i="43"/>
  <c r="Q305" i="43"/>
  <c r="O305" i="43"/>
  <c r="M305" i="43"/>
  <c r="K305" i="43"/>
  <c r="X304" i="43"/>
  <c r="W304" i="43"/>
  <c r="V304" i="43"/>
  <c r="U304" i="43"/>
  <c r="T304" i="43"/>
  <c r="S304" i="43"/>
  <c r="Q304" i="43"/>
  <c r="O304" i="43"/>
  <c r="M304" i="43"/>
  <c r="K304" i="43"/>
  <c r="X303" i="43"/>
  <c r="W303" i="43"/>
  <c r="V303" i="43"/>
  <c r="U303" i="43"/>
  <c r="T303" i="43"/>
  <c r="S303" i="43"/>
  <c r="Q303" i="43"/>
  <c r="O303" i="43"/>
  <c r="M303" i="43"/>
  <c r="K303" i="43"/>
  <c r="X302" i="43"/>
  <c r="W302" i="43"/>
  <c r="V302" i="43"/>
  <c r="U302" i="43"/>
  <c r="T302" i="43"/>
  <c r="S302" i="43"/>
  <c r="Q302" i="43"/>
  <c r="O302" i="43"/>
  <c r="M302" i="43"/>
  <c r="K302" i="43"/>
  <c r="X301" i="43"/>
  <c r="W301" i="43"/>
  <c r="V301" i="43"/>
  <c r="U301" i="43"/>
  <c r="T301" i="43"/>
  <c r="S301" i="43"/>
  <c r="Q301" i="43"/>
  <c r="O301" i="43"/>
  <c r="M301" i="43"/>
  <c r="K301" i="43"/>
  <c r="X300" i="43"/>
  <c r="W300" i="43"/>
  <c r="V300" i="43"/>
  <c r="U300" i="43"/>
  <c r="T300" i="43"/>
  <c r="S300" i="43"/>
  <c r="Q300" i="43"/>
  <c r="O300" i="43"/>
  <c r="M300" i="43"/>
  <c r="K300" i="43"/>
  <c r="X299" i="43"/>
  <c r="W299" i="43"/>
  <c r="V299" i="43"/>
  <c r="U299" i="43"/>
  <c r="T299" i="43"/>
  <c r="S299" i="43"/>
  <c r="Q299" i="43"/>
  <c r="O299" i="43"/>
  <c r="M299" i="43"/>
  <c r="K299" i="43"/>
  <c r="X298" i="43"/>
  <c r="W298" i="43"/>
  <c r="V298" i="43"/>
  <c r="U298" i="43"/>
  <c r="T298" i="43"/>
  <c r="S298" i="43"/>
  <c r="Q298" i="43"/>
  <c r="O298" i="43"/>
  <c r="M298" i="43"/>
  <c r="K298" i="43"/>
  <c r="X297" i="43"/>
  <c r="W297" i="43"/>
  <c r="V297" i="43"/>
  <c r="U297" i="43"/>
  <c r="T297" i="43"/>
  <c r="S297" i="43"/>
  <c r="Q297" i="43"/>
  <c r="O297" i="43"/>
  <c r="M297" i="43"/>
  <c r="K297" i="43"/>
  <c r="X296" i="43"/>
  <c r="W296" i="43"/>
  <c r="V296" i="43"/>
  <c r="U296" i="43"/>
  <c r="T296" i="43"/>
  <c r="S296" i="43"/>
  <c r="Q296" i="43"/>
  <c r="O296" i="43"/>
  <c r="M296" i="43"/>
  <c r="K296" i="43"/>
  <c r="X295" i="43"/>
  <c r="W295" i="43"/>
  <c r="V295" i="43"/>
  <c r="U295" i="43"/>
  <c r="T295" i="43"/>
  <c r="S295" i="43"/>
  <c r="Q295" i="43"/>
  <c r="O295" i="43"/>
  <c r="M295" i="43"/>
  <c r="K295" i="43"/>
  <c r="X294" i="43"/>
  <c r="W294" i="43"/>
  <c r="V294" i="43"/>
  <c r="U294" i="43"/>
  <c r="T294" i="43"/>
  <c r="S294" i="43"/>
  <c r="Q294" i="43"/>
  <c r="O294" i="43"/>
  <c r="M294" i="43"/>
  <c r="K294" i="43"/>
  <c r="X293" i="43"/>
  <c r="W293" i="43"/>
  <c r="V293" i="43"/>
  <c r="U293" i="43"/>
  <c r="T293" i="43"/>
  <c r="S293" i="43"/>
  <c r="Q293" i="43"/>
  <c r="O293" i="43"/>
  <c r="M293" i="43"/>
  <c r="K293" i="43"/>
  <c r="X292" i="43"/>
  <c r="W292" i="43"/>
  <c r="V292" i="43"/>
  <c r="U292" i="43"/>
  <c r="T292" i="43"/>
  <c r="S292" i="43"/>
  <c r="Q292" i="43"/>
  <c r="O292" i="43"/>
  <c r="M292" i="43"/>
  <c r="K292" i="43"/>
  <c r="X291" i="43"/>
  <c r="W291" i="43"/>
  <c r="V291" i="43"/>
  <c r="U291" i="43"/>
  <c r="T291" i="43"/>
  <c r="S291" i="43"/>
  <c r="Q291" i="43"/>
  <c r="O291" i="43"/>
  <c r="M291" i="43"/>
  <c r="K291" i="43"/>
  <c r="X290" i="43"/>
  <c r="W290" i="43"/>
  <c r="V290" i="43"/>
  <c r="U290" i="43"/>
  <c r="T290" i="43"/>
  <c r="S290" i="43"/>
  <c r="Q290" i="43"/>
  <c r="O290" i="43"/>
  <c r="M290" i="43"/>
  <c r="K290" i="43"/>
  <c r="X289" i="43"/>
  <c r="W289" i="43"/>
  <c r="V289" i="43"/>
  <c r="U289" i="43"/>
  <c r="T289" i="43"/>
  <c r="S289" i="43"/>
  <c r="Q289" i="43"/>
  <c r="O289" i="43"/>
  <c r="M289" i="43"/>
  <c r="K289" i="43"/>
  <c r="X288" i="43"/>
  <c r="W288" i="43"/>
  <c r="V288" i="43"/>
  <c r="U288" i="43"/>
  <c r="T288" i="43"/>
  <c r="S288" i="43"/>
  <c r="Q288" i="43"/>
  <c r="O288" i="43"/>
  <c r="M288" i="43"/>
  <c r="K288" i="43"/>
  <c r="X287" i="43"/>
  <c r="W287" i="43"/>
  <c r="V287" i="43"/>
  <c r="U287" i="43"/>
  <c r="T287" i="43"/>
  <c r="S287" i="43"/>
  <c r="Q287" i="43"/>
  <c r="O287" i="43"/>
  <c r="M287" i="43"/>
  <c r="K287" i="43"/>
  <c r="X286" i="43"/>
  <c r="W286" i="43"/>
  <c r="V286" i="43"/>
  <c r="U286" i="43"/>
  <c r="T286" i="43"/>
  <c r="S286" i="43"/>
  <c r="Q286" i="43"/>
  <c r="O286" i="43"/>
  <c r="M286" i="43"/>
  <c r="K286" i="43"/>
  <c r="X285" i="43"/>
  <c r="W285" i="43"/>
  <c r="V285" i="43"/>
  <c r="U285" i="43"/>
  <c r="T285" i="43"/>
  <c r="S285" i="43"/>
  <c r="Q285" i="43"/>
  <c r="O285" i="43"/>
  <c r="M285" i="43"/>
  <c r="K285" i="43"/>
  <c r="X284" i="43"/>
  <c r="W284" i="43"/>
  <c r="V284" i="43"/>
  <c r="U284" i="43"/>
  <c r="T284" i="43"/>
  <c r="S284" i="43"/>
  <c r="Q284" i="43"/>
  <c r="O284" i="43"/>
  <c r="M284" i="43"/>
  <c r="K284" i="43"/>
  <c r="X283" i="43"/>
  <c r="W283" i="43"/>
  <c r="V283" i="43"/>
  <c r="U283" i="43"/>
  <c r="T283" i="43"/>
  <c r="S283" i="43"/>
  <c r="Q283" i="43"/>
  <c r="O283" i="43"/>
  <c r="M283" i="43"/>
  <c r="K283" i="43"/>
  <c r="X282" i="43"/>
  <c r="W282" i="43"/>
  <c r="V282" i="43"/>
  <c r="U282" i="43"/>
  <c r="T282" i="43"/>
  <c r="S282" i="43"/>
  <c r="Q282" i="43"/>
  <c r="O282" i="43"/>
  <c r="M282" i="43"/>
  <c r="K282" i="43"/>
  <c r="X281" i="43"/>
  <c r="W281" i="43"/>
  <c r="V281" i="43"/>
  <c r="U281" i="43"/>
  <c r="T281" i="43"/>
  <c r="S281" i="43"/>
  <c r="Q281" i="43"/>
  <c r="O281" i="43"/>
  <c r="M281" i="43"/>
  <c r="K281" i="43"/>
  <c r="X280" i="43"/>
  <c r="W280" i="43"/>
  <c r="V280" i="43"/>
  <c r="U280" i="43"/>
  <c r="T280" i="43"/>
  <c r="S280" i="43"/>
  <c r="Q280" i="43"/>
  <c r="O280" i="43"/>
  <c r="M280" i="43"/>
  <c r="K280" i="43"/>
  <c r="X279" i="43"/>
  <c r="W279" i="43"/>
  <c r="V279" i="43"/>
  <c r="U279" i="43"/>
  <c r="T279" i="43"/>
  <c r="S279" i="43"/>
  <c r="Q279" i="43"/>
  <c r="O279" i="43"/>
  <c r="M279" i="43"/>
  <c r="K279" i="43"/>
  <c r="X278" i="43"/>
  <c r="W278" i="43"/>
  <c r="V278" i="43"/>
  <c r="U278" i="43"/>
  <c r="T278" i="43"/>
  <c r="S278" i="43"/>
  <c r="Q278" i="43"/>
  <c r="O278" i="43"/>
  <c r="M278" i="43"/>
  <c r="K278" i="43"/>
  <c r="X277" i="43"/>
  <c r="W277" i="43"/>
  <c r="V277" i="43"/>
  <c r="U277" i="43"/>
  <c r="T277" i="43"/>
  <c r="S277" i="43"/>
  <c r="Q277" i="43"/>
  <c r="O277" i="43"/>
  <c r="M277" i="43"/>
  <c r="K277" i="43"/>
  <c r="X276" i="43"/>
  <c r="W276" i="43"/>
  <c r="V276" i="43"/>
  <c r="U276" i="43"/>
  <c r="T276" i="43"/>
  <c r="S276" i="43"/>
  <c r="Q276" i="43"/>
  <c r="O276" i="43"/>
  <c r="M276" i="43"/>
  <c r="K276" i="43"/>
  <c r="X275" i="43"/>
  <c r="W275" i="43"/>
  <c r="V275" i="43"/>
  <c r="U275" i="43"/>
  <c r="T275" i="43"/>
  <c r="S275" i="43"/>
  <c r="Q275" i="43"/>
  <c r="O275" i="43"/>
  <c r="M275" i="43"/>
  <c r="K275" i="43"/>
  <c r="X274" i="43"/>
  <c r="W274" i="43"/>
  <c r="V274" i="43"/>
  <c r="U274" i="43"/>
  <c r="T274" i="43"/>
  <c r="S274" i="43"/>
  <c r="Q274" i="43"/>
  <c r="O274" i="43"/>
  <c r="M274" i="43"/>
  <c r="K274" i="43"/>
  <c r="X273" i="43"/>
  <c r="W273" i="43"/>
  <c r="V273" i="43"/>
  <c r="U273" i="43"/>
  <c r="T273" i="43"/>
  <c r="S273" i="43"/>
  <c r="Q273" i="43"/>
  <c r="O273" i="43"/>
  <c r="M273" i="43"/>
  <c r="K273" i="43"/>
  <c r="X272" i="43"/>
  <c r="W272" i="43"/>
  <c r="V272" i="43"/>
  <c r="U272" i="43"/>
  <c r="T272" i="43"/>
  <c r="S272" i="43"/>
  <c r="Q272" i="43"/>
  <c r="O272" i="43"/>
  <c r="M272" i="43"/>
  <c r="K272" i="43"/>
  <c r="X271" i="43"/>
  <c r="W271" i="43"/>
  <c r="V271" i="43"/>
  <c r="U271" i="43"/>
  <c r="T271" i="43"/>
  <c r="S271" i="43"/>
  <c r="Q271" i="43"/>
  <c r="O271" i="43"/>
  <c r="M271" i="43"/>
  <c r="K271" i="43"/>
  <c r="X270" i="43"/>
  <c r="W270" i="43"/>
  <c r="V270" i="43"/>
  <c r="U270" i="43"/>
  <c r="T270" i="43"/>
  <c r="S270" i="43"/>
  <c r="Q270" i="43"/>
  <c r="O270" i="43"/>
  <c r="M270" i="43"/>
  <c r="K270" i="43"/>
  <c r="X269" i="43"/>
  <c r="W269" i="43"/>
  <c r="V269" i="43"/>
  <c r="U269" i="43"/>
  <c r="T269" i="43"/>
  <c r="S269" i="43"/>
  <c r="Q269" i="43"/>
  <c r="O269" i="43"/>
  <c r="M269" i="43"/>
  <c r="K269" i="43"/>
  <c r="X268" i="43"/>
  <c r="W268" i="43"/>
  <c r="V268" i="43"/>
  <c r="U268" i="43"/>
  <c r="T268" i="43"/>
  <c r="S268" i="43"/>
  <c r="Q268" i="43"/>
  <c r="O268" i="43"/>
  <c r="M268" i="43"/>
  <c r="K268" i="43"/>
  <c r="X267" i="43"/>
  <c r="W267" i="43"/>
  <c r="V267" i="43"/>
  <c r="U267" i="43"/>
  <c r="T267" i="43"/>
  <c r="S267" i="43"/>
  <c r="Q267" i="43"/>
  <c r="O267" i="43"/>
  <c r="M267" i="43"/>
  <c r="K267" i="43"/>
  <c r="X266" i="43"/>
  <c r="W266" i="43"/>
  <c r="V266" i="43"/>
  <c r="U266" i="43"/>
  <c r="T266" i="43"/>
  <c r="S266" i="43"/>
  <c r="Q266" i="43"/>
  <c r="O266" i="43"/>
  <c r="M266" i="43"/>
  <c r="K266" i="43"/>
  <c r="X265" i="43"/>
  <c r="W265" i="43"/>
  <c r="V265" i="43"/>
  <c r="U265" i="43"/>
  <c r="T265" i="43"/>
  <c r="S265" i="43"/>
  <c r="Q265" i="43"/>
  <c r="O265" i="43"/>
  <c r="M265" i="43"/>
  <c r="K265" i="43"/>
  <c r="X264" i="43"/>
  <c r="W264" i="43"/>
  <c r="V264" i="43"/>
  <c r="U264" i="43"/>
  <c r="T264" i="43"/>
  <c r="S264" i="43"/>
  <c r="Q264" i="43"/>
  <c r="O264" i="43"/>
  <c r="M264" i="43"/>
  <c r="K264" i="43"/>
  <c r="X263" i="43"/>
  <c r="W263" i="43"/>
  <c r="V263" i="43"/>
  <c r="U263" i="43"/>
  <c r="T263" i="43"/>
  <c r="S263" i="43"/>
  <c r="Q263" i="43"/>
  <c r="O263" i="43"/>
  <c r="M263" i="43"/>
  <c r="K263" i="43"/>
  <c r="X262" i="43"/>
  <c r="W262" i="43"/>
  <c r="V262" i="43"/>
  <c r="U262" i="43"/>
  <c r="T262" i="43"/>
  <c r="S262" i="43"/>
  <c r="Q262" i="43"/>
  <c r="O262" i="43"/>
  <c r="M262" i="43"/>
  <c r="K262" i="43"/>
  <c r="X261" i="43"/>
  <c r="W261" i="43"/>
  <c r="V261" i="43"/>
  <c r="U261" i="43"/>
  <c r="T261" i="43"/>
  <c r="S261" i="43"/>
  <c r="Q261" i="43"/>
  <c r="O261" i="43"/>
  <c r="M261" i="43"/>
  <c r="K261" i="43"/>
  <c r="X260" i="43"/>
  <c r="W260" i="43"/>
  <c r="V260" i="43"/>
  <c r="U260" i="43"/>
  <c r="T260" i="43"/>
  <c r="S260" i="43"/>
  <c r="Q260" i="43"/>
  <c r="O260" i="43"/>
  <c r="M260" i="43"/>
  <c r="K260" i="43"/>
  <c r="X259" i="43"/>
  <c r="W259" i="43"/>
  <c r="V259" i="43"/>
  <c r="U259" i="43"/>
  <c r="T259" i="43"/>
  <c r="S259" i="43"/>
  <c r="Q259" i="43"/>
  <c r="O259" i="43"/>
  <c r="M259" i="43"/>
  <c r="K259" i="43"/>
  <c r="X258" i="43"/>
  <c r="W258" i="43"/>
  <c r="V258" i="43"/>
  <c r="U258" i="43"/>
  <c r="T258" i="43"/>
  <c r="S258" i="43"/>
  <c r="Q258" i="43"/>
  <c r="O258" i="43"/>
  <c r="M258" i="43"/>
  <c r="K258" i="43"/>
  <c r="X257" i="43"/>
  <c r="W257" i="43"/>
  <c r="V257" i="43"/>
  <c r="U257" i="43"/>
  <c r="T257" i="43"/>
  <c r="S257" i="43"/>
  <c r="Q257" i="43"/>
  <c r="O257" i="43"/>
  <c r="M257" i="43"/>
  <c r="K257" i="43"/>
  <c r="X256" i="43"/>
  <c r="W256" i="43"/>
  <c r="V256" i="43"/>
  <c r="U256" i="43"/>
  <c r="T256" i="43"/>
  <c r="S256" i="43"/>
  <c r="Q256" i="43"/>
  <c r="O256" i="43"/>
  <c r="M256" i="43"/>
  <c r="K256" i="43"/>
  <c r="X255" i="43"/>
  <c r="W255" i="43"/>
  <c r="V255" i="43"/>
  <c r="U255" i="43"/>
  <c r="T255" i="43"/>
  <c r="S255" i="43"/>
  <c r="Q255" i="43"/>
  <c r="O255" i="43"/>
  <c r="M255" i="43"/>
  <c r="K255" i="43"/>
  <c r="X254" i="43"/>
  <c r="W254" i="43"/>
  <c r="V254" i="43"/>
  <c r="U254" i="43"/>
  <c r="T254" i="43"/>
  <c r="S254" i="43"/>
  <c r="Q254" i="43"/>
  <c r="O254" i="43"/>
  <c r="M254" i="43"/>
  <c r="K254" i="43"/>
  <c r="X253" i="43"/>
  <c r="W253" i="43"/>
  <c r="V253" i="43"/>
  <c r="U253" i="43"/>
  <c r="T253" i="43"/>
  <c r="S253" i="43"/>
  <c r="Q253" i="43"/>
  <c r="O253" i="43"/>
  <c r="M253" i="43"/>
  <c r="K253" i="43"/>
  <c r="X252" i="43"/>
  <c r="W252" i="43"/>
  <c r="V252" i="43"/>
  <c r="U252" i="43"/>
  <c r="T252" i="43"/>
  <c r="S252" i="43"/>
  <c r="Q252" i="43"/>
  <c r="O252" i="43"/>
  <c r="M252" i="43"/>
  <c r="K252" i="43"/>
  <c r="X251" i="43"/>
  <c r="W251" i="43"/>
  <c r="V251" i="43"/>
  <c r="U251" i="43"/>
  <c r="T251" i="43"/>
  <c r="S251" i="43"/>
  <c r="Q251" i="43"/>
  <c r="O251" i="43"/>
  <c r="M251" i="43"/>
  <c r="K251" i="43"/>
  <c r="X250" i="43"/>
  <c r="W250" i="43"/>
  <c r="V250" i="43"/>
  <c r="U250" i="43"/>
  <c r="T250" i="43"/>
  <c r="S250" i="43"/>
  <c r="Q250" i="43"/>
  <c r="O250" i="43"/>
  <c r="M250" i="43"/>
  <c r="K250" i="43"/>
  <c r="X249" i="43"/>
  <c r="W249" i="43"/>
  <c r="V249" i="43"/>
  <c r="U249" i="43"/>
  <c r="T249" i="43"/>
  <c r="S249" i="43"/>
  <c r="Q249" i="43"/>
  <c r="O249" i="43"/>
  <c r="M249" i="43"/>
  <c r="K249" i="43"/>
  <c r="X248" i="43"/>
  <c r="W248" i="43"/>
  <c r="V248" i="43"/>
  <c r="U248" i="43"/>
  <c r="T248" i="43"/>
  <c r="S248" i="43"/>
  <c r="Q248" i="43"/>
  <c r="O248" i="43"/>
  <c r="M248" i="43"/>
  <c r="K248" i="43"/>
  <c r="X247" i="43"/>
  <c r="W247" i="43"/>
  <c r="V247" i="43"/>
  <c r="U247" i="43"/>
  <c r="T247" i="43"/>
  <c r="S247" i="43"/>
  <c r="Q247" i="43"/>
  <c r="O247" i="43"/>
  <c r="M247" i="43"/>
  <c r="K247" i="43"/>
  <c r="X246" i="43"/>
  <c r="W246" i="43"/>
  <c r="V246" i="43"/>
  <c r="U246" i="43"/>
  <c r="T246" i="43"/>
  <c r="S246" i="43"/>
  <c r="Q246" i="43"/>
  <c r="O246" i="43"/>
  <c r="M246" i="43"/>
  <c r="K246" i="43"/>
  <c r="X245" i="43"/>
  <c r="W245" i="43"/>
  <c r="V245" i="43"/>
  <c r="U245" i="43"/>
  <c r="T245" i="43"/>
  <c r="S245" i="43"/>
  <c r="Q245" i="43"/>
  <c r="O245" i="43"/>
  <c r="M245" i="43"/>
  <c r="K245" i="43"/>
  <c r="X244" i="43"/>
  <c r="W244" i="43"/>
  <c r="V244" i="43"/>
  <c r="U244" i="43"/>
  <c r="T244" i="43"/>
  <c r="S244" i="43"/>
  <c r="Q244" i="43"/>
  <c r="O244" i="43"/>
  <c r="M244" i="43"/>
  <c r="K244" i="43"/>
  <c r="X243" i="43"/>
  <c r="W243" i="43"/>
  <c r="V243" i="43"/>
  <c r="U243" i="43"/>
  <c r="T243" i="43"/>
  <c r="S243" i="43"/>
  <c r="Q243" i="43"/>
  <c r="O243" i="43"/>
  <c r="M243" i="43"/>
  <c r="K243" i="43"/>
  <c r="X242" i="43"/>
  <c r="W242" i="43"/>
  <c r="V242" i="43"/>
  <c r="U242" i="43"/>
  <c r="T242" i="43"/>
  <c r="S242" i="43"/>
  <c r="Q242" i="43"/>
  <c r="O242" i="43"/>
  <c r="M242" i="43"/>
  <c r="K242" i="43"/>
  <c r="X241" i="43"/>
  <c r="W241" i="43"/>
  <c r="V241" i="43"/>
  <c r="U241" i="43"/>
  <c r="T241" i="43"/>
  <c r="S241" i="43"/>
  <c r="Q241" i="43"/>
  <c r="O241" i="43"/>
  <c r="M241" i="43"/>
  <c r="K241" i="43"/>
  <c r="X240" i="43"/>
  <c r="W240" i="43"/>
  <c r="V240" i="43"/>
  <c r="U240" i="43"/>
  <c r="T240" i="43"/>
  <c r="S240" i="43"/>
  <c r="Q240" i="43"/>
  <c r="O240" i="43"/>
  <c r="M240" i="43"/>
  <c r="K240" i="43"/>
  <c r="X239" i="43"/>
  <c r="W239" i="43"/>
  <c r="V239" i="43"/>
  <c r="U239" i="43"/>
  <c r="T239" i="43"/>
  <c r="S239" i="43"/>
  <c r="Q239" i="43"/>
  <c r="O239" i="43"/>
  <c r="M239" i="43"/>
  <c r="K239" i="43"/>
  <c r="X238" i="43"/>
  <c r="W238" i="43"/>
  <c r="V238" i="43"/>
  <c r="U238" i="43"/>
  <c r="T238" i="43"/>
  <c r="S238" i="43"/>
  <c r="Q238" i="43"/>
  <c r="O238" i="43"/>
  <c r="M238" i="43"/>
  <c r="K238" i="43"/>
  <c r="X237" i="43"/>
  <c r="W237" i="43"/>
  <c r="V237" i="43"/>
  <c r="U237" i="43"/>
  <c r="T237" i="43"/>
  <c r="S237" i="43"/>
  <c r="Q237" i="43"/>
  <c r="O237" i="43"/>
  <c r="M237" i="43"/>
  <c r="K237" i="43"/>
  <c r="X236" i="43"/>
  <c r="W236" i="43"/>
  <c r="V236" i="43"/>
  <c r="U236" i="43"/>
  <c r="T236" i="43"/>
  <c r="S236" i="43"/>
  <c r="Q236" i="43"/>
  <c r="O236" i="43"/>
  <c r="M236" i="43"/>
  <c r="K236" i="43"/>
  <c r="X235" i="43"/>
  <c r="W235" i="43"/>
  <c r="V235" i="43"/>
  <c r="U235" i="43"/>
  <c r="T235" i="43"/>
  <c r="S235" i="43"/>
  <c r="Q235" i="43"/>
  <c r="O235" i="43"/>
  <c r="M235" i="43"/>
  <c r="K235" i="43"/>
  <c r="X234" i="43"/>
  <c r="W234" i="43"/>
  <c r="V234" i="43"/>
  <c r="U234" i="43"/>
  <c r="T234" i="43"/>
  <c r="S234" i="43"/>
  <c r="Q234" i="43"/>
  <c r="O234" i="43"/>
  <c r="M234" i="43"/>
  <c r="K234" i="43"/>
  <c r="X233" i="43"/>
  <c r="W233" i="43"/>
  <c r="V233" i="43"/>
  <c r="U233" i="43"/>
  <c r="T233" i="43"/>
  <c r="S233" i="43"/>
  <c r="Q233" i="43"/>
  <c r="O233" i="43"/>
  <c r="M233" i="43"/>
  <c r="K233" i="43"/>
  <c r="X232" i="43"/>
  <c r="W232" i="43"/>
  <c r="V232" i="43"/>
  <c r="U232" i="43"/>
  <c r="T232" i="43"/>
  <c r="S232" i="43"/>
  <c r="Q232" i="43"/>
  <c r="O232" i="43"/>
  <c r="M232" i="43"/>
  <c r="K232" i="43"/>
  <c r="X231" i="43"/>
  <c r="W231" i="43"/>
  <c r="V231" i="43"/>
  <c r="U231" i="43"/>
  <c r="T231" i="43"/>
  <c r="S231" i="43"/>
  <c r="Q231" i="43"/>
  <c r="O231" i="43"/>
  <c r="M231" i="43"/>
  <c r="K231" i="43"/>
  <c r="X230" i="43"/>
  <c r="W230" i="43"/>
  <c r="V230" i="43"/>
  <c r="U230" i="43"/>
  <c r="T230" i="43"/>
  <c r="S230" i="43"/>
  <c r="Q230" i="43"/>
  <c r="O230" i="43"/>
  <c r="M230" i="43"/>
  <c r="K230" i="43"/>
  <c r="X229" i="43"/>
  <c r="W229" i="43"/>
  <c r="V229" i="43"/>
  <c r="U229" i="43"/>
  <c r="T229" i="43"/>
  <c r="S229" i="43"/>
  <c r="Q229" i="43"/>
  <c r="O229" i="43"/>
  <c r="M229" i="43"/>
  <c r="K229" i="43"/>
  <c r="X228" i="43"/>
  <c r="W228" i="43"/>
  <c r="V228" i="43"/>
  <c r="U228" i="43"/>
  <c r="T228" i="43"/>
  <c r="S228" i="43"/>
  <c r="Q228" i="43"/>
  <c r="O228" i="43"/>
  <c r="M228" i="43"/>
  <c r="K228" i="43"/>
  <c r="X227" i="43"/>
  <c r="W227" i="43"/>
  <c r="V227" i="43"/>
  <c r="U227" i="43"/>
  <c r="T227" i="43"/>
  <c r="S227" i="43"/>
  <c r="Q227" i="43"/>
  <c r="O227" i="43"/>
  <c r="M227" i="43"/>
  <c r="K227" i="43"/>
  <c r="X226" i="43"/>
  <c r="W226" i="43"/>
  <c r="V226" i="43"/>
  <c r="U226" i="43"/>
  <c r="T226" i="43"/>
  <c r="S226" i="43"/>
  <c r="Q226" i="43"/>
  <c r="O226" i="43"/>
  <c r="M226" i="43"/>
  <c r="K226" i="43"/>
  <c r="X225" i="43"/>
  <c r="W225" i="43"/>
  <c r="V225" i="43"/>
  <c r="U225" i="43"/>
  <c r="T225" i="43"/>
  <c r="S225" i="43"/>
  <c r="Q225" i="43"/>
  <c r="O225" i="43"/>
  <c r="M225" i="43"/>
  <c r="K225" i="43"/>
  <c r="X224" i="43"/>
  <c r="W224" i="43"/>
  <c r="V224" i="43"/>
  <c r="U224" i="43"/>
  <c r="T224" i="43"/>
  <c r="S224" i="43"/>
  <c r="Q224" i="43"/>
  <c r="O224" i="43"/>
  <c r="M224" i="43"/>
  <c r="K224" i="43"/>
  <c r="X223" i="43"/>
  <c r="W223" i="43"/>
  <c r="V223" i="43"/>
  <c r="U223" i="43"/>
  <c r="T223" i="43"/>
  <c r="S223" i="43"/>
  <c r="Q223" i="43"/>
  <c r="O223" i="43"/>
  <c r="M223" i="43"/>
  <c r="K223" i="43"/>
  <c r="X222" i="43"/>
  <c r="W222" i="43"/>
  <c r="V222" i="43"/>
  <c r="U222" i="43"/>
  <c r="T222" i="43"/>
  <c r="S222" i="43"/>
  <c r="Q222" i="43"/>
  <c r="O222" i="43"/>
  <c r="M222" i="43"/>
  <c r="K222" i="43"/>
  <c r="X221" i="43"/>
  <c r="W221" i="43"/>
  <c r="V221" i="43"/>
  <c r="U221" i="43"/>
  <c r="T221" i="43"/>
  <c r="S221" i="43"/>
  <c r="Q221" i="43"/>
  <c r="O221" i="43"/>
  <c r="M221" i="43"/>
  <c r="K221" i="43"/>
  <c r="X220" i="43"/>
  <c r="W220" i="43"/>
  <c r="V220" i="43"/>
  <c r="U220" i="43"/>
  <c r="T220" i="43"/>
  <c r="S220" i="43"/>
  <c r="Q220" i="43"/>
  <c r="O220" i="43"/>
  <c r="M220" i="43"/>
  <c r="K220" i="43"/>
  <c r="X219" i="43"/>
  <c r="W219" i="43"/>
  <c r="V219" i="43"/>
  <c r="U219" i="43"/>
  <c r="T219" i="43"/>
  <c r="S219" i="43"/>
  <c r="Q219" i="43"/>
  <c r="O219" i="43"/>
  <c r="M219" i="43"/>
  <c r="K219" i="43"/>
  <c r="X218" i="43"/>
  <c r="W218" i="43"/>
  <c r="V218" i="43"/>
  <c r="U218" i="43"/>
  <c r="T218" i="43"/>
  <c r="S218" i="43"/>
  <c r="Q218" i="43"/>
  <c r="O218" i="43"/>
  <c r="M218" i="43"/>
  <c r="K218" i="43"/>
  <c r="X217" i="43"/>
  <c r="W217" i="43"/>
  <c r="V217" i="43"/>
  <c r="U217" i="43"/>
  <c r="T217" i="43"/>
  <c r="S217" i="43"/>
  <c r="Q217" i="43"/>
  <c r="O217" i="43"/>
  <c r="M217" i="43"/>
  <c r="K217" i="43"/>
  <c r="X216" i="43"/>
  <c r="W216" i="43"/>
  <c r="V216" i="43"/>
  <c r="U216" i="43"/>
  <c r="T216" i="43"/>
  <c r="S216" i="43"/>
  <c r="Q216" i="43"/>
  <c r="O216" i="43"/>
  <c r="M216" i="43"/>
  <c r="K216" i="43"/>
  <c r="X215" i="43"/>
  <c r="W215" i="43"/>
  <c r="V215" i="43"/>
  <c r="U215" i="43"/>
  <c r="T215" i="43"/>
  <c r="S215" i="43"/>
  <c r="Q215" i="43"/>
  <c r="O215" i="43"/>
  <c r="M215" i="43"/>
  <c r="K215" i="43"/>
  <c r="X214" i="43"/>
  <c r="W214" i="43"/>
  <c r="V214" i="43"/>
  <c r="U214" i="43"/>
  <c r="T214" i="43"/>
  <c r="S214" i="43"/>
  <c r="Q214" i="43"/>
  <c r="O214" i="43"/>
  <c r="M214" i="43"/>
  <c r="K214" i="43"/>
  <c r="X213" i="43"/>
  <c r="W213" i="43"/>
  <c r="V213" i="43"/>
  <c r="U213" i="43"/>
  <c r="T213" i="43"/>
  <c r="S213" i="43"/>
  <c r="Q213" i="43"/>
  <c r="O213" i="43"/>
  <c r="M213" i="43"/>
  <c r="K213" i="43"/>
  <c r="X212" i="43"/>
  <c r="W212" i="43"/>
  <c r="V212" i="43"/>
  <c r="U212" i="43"/>
  <c r="T212" i="43"/>
  <c r="S212" i="43"/>
  <c r="Q212" i="43"/>
  <c r="O212" i="43"/>
  <c r="M212" i="43"/>
  <c r="K212" i="43"/>
  <c r="X211" i="43"/>
  <c r="W211" i="43"/>
  <c r="V211" i="43"/>
  <c r="U211" i="43"/>
  <c r="T211" i="43"/>
  <c r="S211" i="43"/>
  <c r="Q211" i="43"/>
  <c r="O211" i="43"/>
  <c r="M211" i="43"/>
  <c r="K211" i="43"/>
  <c r="X210" i="43"/>
  <c r="W210" i="43"/>
  <c r="V210" i="43"/>
  <c r="U210" i="43"/>
  <c r="T210" i="43"/>
  <c r="S210" i="43"/>
  <c r="Q210" i="43"/>
  <c r="O210" i="43"/>
  <c r="M210" i="43"/>
  <c r="K210" i="43"/>
  <c r="X209" i="43"/>
  <c r="W209" i="43"/>
  <c r="V209" i="43"/>
  <c r="U209" i="43"/>
  <c r="T209" i="43"/>
  <c r="S209" i="43"/>
  <c r="Q209" i="43"/>
  <c r="O209" i="43"/>
  <c r="M209" i="43"/>
  <c r="K209" i="43"/>
  <c r="X208" i="43"/>
  <c r="W208" i="43"/>
  <c r="V208" i="43"/>
  <c r="U208" i="43"/>
  <c r="T208" i="43"/>
  <c r="S208" i="43"/>
  <c r="Q208" i="43"/>
  <c r="O208" i="43"/>
  <c r="M208" i="43"/>
  <c r="K208" i="43"/>
  <c r="X207" i="43"/>
  <c r="W207" i="43"/>
  <c r="V207" i="43"/>
  <c r="U207" i="43"/>
  <c r="T207" i="43"/>
  <c r="S207" i="43"/>
  <c r="Q207" i="43"/>
  <c r="O207" i="43"/>
  <c r="M207" i="43"/>
  <c r="K207" i="43"/>
  <c r="X206" i="43"/>
  <c r="W206" i="43"/>
  <c r="V206" i="43"/>
  <c r="U206" i="43"/>
  <c r="T206" i="43"/>
  <c r="S206" i="43"/>
  <c r="Q206" i="43"/>
  <c r="O206" i="43"/>
  <c r="M206" i="43"/>
  <c r="K206" i="43"/>
  <c r="X205" i="43"/>
  <c r="W205" i="43"/>
  <c r="V205" i="43"/>
  <c r="U205" i="43"/>
  <c r="T205" i="43"/>
  <c r="S205" i="43"/>
  <c r="Q205" i="43"/>
  <c r="O205" i="43"/>
  <c r="M205" i="43"/>
  <c r="K205" i="43"/>
  <c r="X204" i="43"/>
  <c r="W204" i="43"/>
  <c r="V204" i="43"/>
  <c r="U204" i="43"/>
  <c r="T204" i="43"/>
  <c r="S204" i="43"/>
  <c r="Q204" i="43"/>
  <c r="O204" i="43"/>
  <c r="M204" i="43"/>
  <c r="K204" i="43"/>
  <c r="X203" i="43"/>
  <c r="W203" i="43"/>
  <c r="V203" i="43"/>
  <c r="U203" i="43"/>
  <c r="T203" i="43"/>
  <c r="S203" i="43"/>
  <c r="Q203" i="43"/>
  <c r="O203" i="43"/>
  <c r="M203" i="43"/>
  <c r="K203" i="43"/>
  <c r="X202" i="43"/>
  <c r="W202" i="43"/>
  <c r="V202" i="43"/>
  <c r="U202" i="43"/>
  <c r="T202" i="43"/>
  <c r="S202" i="43"/>
  <c r="Q202" i="43"/>
  <c r="O202" i="43"/>
  <c r="M202" i="43"/>
  <c r="K202" i="43"/>
  <c r="X201" i="43"/>
  <c r="W201" i="43"/>
  <c r="V201" i="43"/>
  <c r="U201" i="43"/>
  <c r="T201" i="43"/>
  <c r="S201" i="43"/>
  <c r="Q201" i="43"/>
  <c r="O201" i="43"/>
  <c r="M201" i="43"/>
  <c r="K201" i="43"/>
  <c r="X200" i="43"/>
  <c r="W200" i="43"/>
  <c r="V200" i="43"/>
  <c r="U200" i="43"/>
  <c r="T200" i="43"/>
  <c r="S200" i="43"/>
  <c r="Q200" i="43"/>
  <c r="O200" i="43"/>
  <c r="M200" i="43"/>
  <c r="K200" i="43"/>
  <c r="X199" i="43"/>
  <c r="W199" i="43"/>
  <c r="V199" i="43"/>
  <c r="U199" i="43"/>
  <c r="T199" i="43"/>
  <c r="S199" i="43"/>
  <c r="Q199" i="43"/>
  <c r="O199" i="43"/>
  <c r="M199" i="43"/>
  <c r="K199" i="43"/>
  <c r="X198" i="43"/>
  <c r="W198" i="43"/>
  <c r="V198" i="43"/>
  <c r="U198" i="43"/>
  <c r="T198" i="43"/>
  <c r="S198" i="43"/>
  <c r="Q198" i="43"/>
  <c r="O198" i="43"/>
  <c r="M198" i="43"/>
  <c r="K198" i="43"/>
  <c r="X197" i="43"/>
  <c r="W197" i="43"/>
  <c r="V197" i="43"/>
  <c r="U197" i="43"/>
  <c r="T197" i="43"/>
  <c r="S197" i="43"/>
  <c r="Q197" i="43"/>
  <c r="O197" i="43"/>
  <c r="M197" i="43"/>
  <c r="K197" i="43"/>
  <c r="X196" i="43"/>
  <c r="W196" i="43"/>
  <c r="V196" i="43"/>
  <c r="U196" i="43"/>
  <c r="T196" i="43"/>
  <c r="S196" i="43"/>
  <c r="Q196" i="43"/>
  <c r="O196" i="43"/>
  <c r="M196" i="43"/>
  <c r="K196" i="43"/>
  <c r="X195" i="43"/>
  <c r="W195" i="43"/>
  <c r="V195" i="43"/>
  <c r="U195" i="43"/>
  <c r="T195" i="43"/>
  <c r="S195" i="43"/>
  <c r="Q195" i="43"/>
  <c r="O195" i="43"/>
  <c r="M195" i="43"/>
  <c r="K195" i="43"/>
  <c r="X194" i="43"/>
  <c r="W194" i="43"/>
  <c r="V194" i="43"/>
  <c r="U194" i="43"/>
  <c r="T194" i="43"/>
  <c r="S194" i="43"/>
  <c r="Q194" i="43"/>
  <c r="O194" i="43"/>
  <c r="M194" i="43"/>
  <c r="K194" i="43"/>
  <c r="X193" i="43"/>
  <c r="W193" i="43"/>
  <c r="V193" i="43"/>
  <c r="U193" i="43"/>
  <c r="T193" i="43"/>
  <c r="S193" i="43"/>
  <c r="Q193" i="43"/>
  <c r="O193" i="43"/>
  <c r="M193" i="43"/>
  <c r="K193" i="43"/>
  <c r="X192" i="43"/>
  <c r="W192" i="43"/>
  <c r="V192" i="43"/>
  <c r="U192" i="43"/>
  <c r="T192" i="43"/>
  <c r="S192" i="43"/>
  <c r="Q192" i="43"/>
  <c r="O192" i="43"/>
  <c r="M192" i="43"/>
  <c r="K192" i="43"/>
  <c r="X191" i="43"/>
  <c r="W191" i="43"/>
  <c r="V191" i="43"/>
  <c r="U191" i="43"/>
  <c r="T191" i="43"/>
  <c r="S191" i="43"/>
  <c r="Q191" i="43"/>
  <c r="O191" i="43"/>
  <c r="M191" i="43"/>
  <c r="K191" i="43"/>
  <c r="X190" i="43"/>
  <c r="W190" i="43"/>
  <c r="V190" i="43"/>
  <c r="U190" i="43"/>
  <c r="T190" i="43"/>
  <c r="S190" i="43"/>
  <c r="Q190" i="43"/>
  <c r="O190" i="43"/>
  <c r="M190" i="43"/>
  <c r="K190" i="43"/>
  <c r="X189" i="43"/>
  <c r="W189" i="43"/>
  <c r="V189" i="43"/>
  <c r="U189" i="43"/>
  <c r="T189" i="43"/>
  <c r="S189" i="43"/>
  <c r="Q189" i="43"/>
  <c r="O189" i="43"/>
  <c r="M189" i="43"/>
  <c r="K189" i="43"/>
  <c r="X188" i="43"/>
  <c r="W188" i="43"/>
  <c r="V188" i="43"/>
  <c r="U188" i="43"/>
  <c r="T188" i="43"/>
  <c r="S188" i="43"/>
  <c r="Q188" i="43"/>
  <c r="O188" i="43"/>
  <c r="M188" i="43"/>
  <c r="K188" i="43"/>
  <c r="X187" i="43"/>
  <c r="W187" i="43"/>
  <c r="V187" i="43"/>
  <c r="U187" i="43"/>
  <c r="T187" i="43"/>
  <c r="S187" i="43"/>
  <c r="Q187" i="43"/>
  <c r="O187" i="43"/>
  <c r="M187" i="43"/>
  <c r="K187" i="43"/>
  <c r="X186" i="43"/>
  <c r="W186" i="43"/>
  <c r="V186" i="43"/>
  <c r="U186" i="43"/>
  <c r="T186" i="43"/>
  <c r="S186" i="43"/>
  <c r="Q186" i="43"/>
  <c r="O186" i="43"/>
  <c r="M186" i="43"/>
  <c r="K186" i="43"/>
  <c r="X185" i="43"/>
  <c r="W185" i="43"/>
  <c r="V185" i="43"/>
  <c r="U185" i="43"/>
  <c r="T185" i="43"/>
  <c r="S185" i="43"/>
  <c r="Q185" i="43"/>
  <c r="O185" i="43"/>
  <c r="M185" i="43"/>
  <c r="K185" i="43"/>
  <c r="X184" i="43"/>
  <c r="W184" i="43"/>
  <c r="V184" i="43"/>
  <c r="U184" i="43"/>
  <c r="T184" i="43"/>
  <c r="S184" i="43"/>
  <c r="Q184" i="43"/>
  <c r="O184" i="43"/>
  <c r="M184" i="43"/>
  <c r="K184" i="43"/>
  <c r="X183" i="43"/>
  <c r="W183" i="43"/>
  <c r="V183" i="43"/>
  <c r="U183" i="43"/>
  <c r="T183" i="43"/>
  <c r="S183" i="43"/>
  <c r="Q183" i="43"/>
  <c r="O183" i="43"/>
  <c r="M183" i="43"/>
  <c r="K183" i="43"/>
  <c r="X182" i="43"/>
  <c r="W182" i="43"/>
  <c r="V182" i="43"/>
  <c r="U182" i="43"/>
  <c r="T182" i="43"/>
  <c r="S182" i="43"/>
  <c r="Q182" i="43"/>
  <c r="O182" i="43"/>
  <c r="M182" i="43"/>
  <c r="K182" i="43"/>
  <c r="X181" i="43"/>
  <c r="W181" i="43"/>
  <c r="V181" i="43"/>
  <c r="U181" i="43"/>
  <c r="T181" i="43"/>
  <c r="S181" i="43"/>
  <c r="Q181" i="43"/>
  <c r="O181" i="43"/>
  <c r="M181" i="43"/>
  <c r="K181" i="43"/>
  <c r="X180" i="43"/>
  <c r="W180" i="43"/>
  <c r="V180" i="43"/>
  <c r="U180" i="43"/>
  <c r="T180" i="43"/>
  <c r="S180" i="43"/>
  <c r="Q180" i="43"/>
  <c r="O180" i="43"/>
  <c r="M180" i="43"/>
  <c r="K180" i="43"/>
  <c r="X179" i="43"/>
  <c r="W179" i="43"/>
  <c r="V179" i="43"/>
  <c r="U179" i="43"/>
  <c r="T179" i="43"/>
  <c r="S179" i="43"/>
  <c r="Q179" i="43"/>
  <c r="O179" i="43"/>
  <c r="M179" i="43"/>
  <c r="K179" i="43"/>
  <c r="X178" i="43"/>
  <c r="W178" i="43"/>
  <c r="V178" i="43"/>
  <c r="U178" i="43"/>
  <c r="T178" i="43"/>
  <c r="S178" i="43"/>
  <c r="Q178" i="43"/>
  <c r="O178" i="43"/>
  <c r="M178" i="43"/>
  <c r="K178" i="43"/>
  <c r="X177" i="43"/>
  <c r="W177" i="43"/>
  <c r="V177" i="43"/>
  <c r="U177" i="43"/>
  <c r="T177" i="43"/>
  <c r="S177" i="43"/>
  <c r="Q177" i="43"/>
  <c r="O177" i="43"/>
  <c r="M177" i="43"/>
  <c r="K177" i="43"/>
  <c r="X176" i="43"/>
  <c r="W176" i="43"/>
  <c r="V176" i="43"/>
  <c r="U176" i="43"/>
  <c r="T176" i="43"/>
  <c r="S176" i="43"/>
  <c r="Q176" i="43"/>
  <c r="O176" i="43"/>
  <c r="M176" i="43"/>
  <c r="K176" i="43"/>
  <c r="X175" i="43"/>
  <c r="W175" i="43"/>
  <c r="V175" i="43"/>
  <c r="U175" i="43"/>
  <c r="T175" i="43"/>
  <c r="S175" i="43"/>
  <c r="Q175" i="43"/>
  <c r="O175" i="43"/>
  <c r="M175" i="43"/>
  <c r="K175" i="43"/>
  <c r="X174" i="43"/>
  <c r="W174" i="43"/>
  <c r="V174" i="43"/>
  <c r="U174" i="43"/>
  <c r="T174" i="43"/>
  <c r="S174" i="43"/>
  <c r="Q174" i="43"/>
  <c r="O174" i="43"/>
  <c r="M174" i="43"/>
  <c r="K174" i="43"/>
  <c r="X173" i="43"/>
  <c r="W173" i="43"/>
  <c r="V173" i="43"/>
  <c r="U173" i="43"/>
  <c r="T173" i="43"/>
  <c r="S173" i="43"/>
  <c r="Q173" i="43"/>
  <c r="O173" i="43"/>
  <c r="M173" i="43"/>
  <c r="K173" i="43"/>
  <c r="X172" i="43"/>
  <c r="W172" i="43"/>
  <c r="V172" i="43"/>
  <c r="U172" i="43"/>
  <c r="T172" i="43"/>
  <c r="S172" i="43"/>
  <c r="Q172" i="43"/>
  <c r="O172" i="43"/>
  <c r="M172" i="43"/>
  <c r="K172" i="43"/>
  <c r="X171" i="43"/>
  <c r="W171" i="43"/>
  <c r="V171" i="43"/>
  <c r="U171" i="43"/>
  <c r="T171" i="43"/>
  <c r="S171" i="43"/>
  <c r="Q171" i="43"/>
  <c r="O171" i="43"/>
  <c r="M171" i="43"/>
  <c r="K171" i="43"/>
  <c r="X170" i="43"/>
  <c r="W170" i="43"/>
  <c r="V170" i="43"/>
  <c r="U170" i="43"/>
  <c r="T170" i="43"/>
  <c r="S170" i="43"/>
  <c r="Q170" i="43"/>
  <c r="O170" i="43"/>
  <c r="M170" i="43"/>
  <c r="K170" i="43"/>
  <c r="X169" i="43"/>
  <c r="W169" i="43"/>
  <c r="V169" i="43"/>
  <c r="U169" i="43"/>
  <c r="T169" i="43"/>
  <c r="S169" i="43"/>
  <c r="Q169" i="43"/>
  <c r="O169" i="43"/>
  <c r="M169" i="43"/>
  <c r="K169" i="43"/>
  <c r="X168" i="43"/>
  <c r="W168" i="43"/>
  <c r="V168" i="43"/>
  <c r="U168" i="43"/>
  <c r="T168" i="43"/>
  <c r="S168" i="43"/>
  <c r="Q168" i="43"/>
  <c r="O168" i="43"/>
  <c r="M168" i="43"/>
  <c r="K168" i="43"/>
  <c r="X167" i="43"/>
  <c r="W167" i="43"/>
  <c r="V167" i="43"/>
  <c r="U167" i="43"/>
  <c r="T167" i="43"/>
  <c r="S167" i="43"/>
  <c r="Q167" i="43"/>
  <c r="O167" i="43"/>
  <c r="M167" i="43"/>
  <c r="K167" i="43"/>
  <c r="X166" i="43"/>
  <c r="W166" i="43"/>
  <c r="V166" i="43"/>
  <c r="U166" i="43"/>
  <c r="T166" i="43"/>
  <c r="S166" i="43"/>
  <c r="Q166" i="43"/>
  <c r="O166" i="43"/>
  <c r="M166" i="43"/>
  <c r="K166" i="43"/>
  <c r="X165" i="43"/>
  <c r="W165" i="43"/>
  <c r="V165" i="43"/>
  <c r="U165" i="43"/>
  <c r="T165" i="43"/>
  <c r="S165" i="43"/>
  <c r="Q165" i="43"/>
  <c r="O165" i="43"/>
  <c r="M165" i="43"/>
  <c r="K165" i="43"/>
  <c r="X164" i="43"/>
  <c r="W164" i="43"/>
  <c r="V164" i="43"/>
  <c r="U164" i="43"/>
  <c r="T164" i="43"/>
  <c r="S164" i="43"/>
  <c r="Q164" i="43"/>
  <c r="O164" i="43"/>
  <c r="M164" i="43"/>
  <c r="K164" i="43"/>
  <c r="X163" i="43"/>
  <c r="W163" i="43"/>
  <c r="V163" i="43"/>
  <c r="U163" i="43"/>
  <c r="T163" i="43"/>
  <c r="S163" i="43"/>
  <c r="Q163" i="43"/>
  <c r="O163" i="43"/>
  <c r="M163" i="43"/>
  <c r="K163" i="43"/>
  <c r="X162" i="43"/>
  <c r="W162" i="43"/>
  <c r="V162" i="43"/>
  <c r="U162" i="43"/>
  <c r="T162" i="43"/>
  <c r="S162" i="43"/>
  <c r="Q162" i="43"/>
  <c r="O162" i="43"/>
  <c r="M162" i="43"/>
  <c r="K162" i="43"/>
  <c r="X161" i="43"/>
  <c r="W161" i="43"/>
  <c r="V161" i="43"/>
  <c r="U161" i="43"/>
  <c r="T161" i="43"/>
  <c r="S161" i="43"/>
  <c r="Q161" i="43"/>
  <c r="O161" i="43"/>
  <c r="M161" i="43"/>
  <c r="K161" i="43"/>
  <c r="X160" i="43"/>
  <c r="W160" i="43"/>
  <c r="V160" i="43"/>
  <c r="U160" i="43"/>
  <c r="T160" i="43"/>
  <c r="S160" i="43"/>
  <c r="Q160" i="43"/>
  <c r="O160" i="43"/>
  <c r="M160" i="43"/>
  <c r="K160" i="43"/>
  <c r="X159" i="43"/>
  <c r="W159" i="43"/>
  <c r="V159" i="43"/>
  <c r="U159" i="43"/>
  <c r="T159" i="43"/>
  <c r="S159" i="43"/>
  <c r="Q159" i="43"/>
  <c r="O159" i="43"/>
  <c r="M159" i="43"/>
  <c r="K159" i="43"/>
  <c r="X158" i="43"/>
  <c r="W158" i="43"/>
  <c r="V158" i="43"/>
  <c r="U158" i="43"/>
  <c r="T158" i="43"/>
  <c r="S158" i="43"/>
  <c r="Q158" i="43"/>
  <c r="O158" i="43"/>
  <c r="M158" i="43"/>
  <c r="K158" i="43"/>
  <c r="X157" i="43"/>
  <c r="W157" i="43"/>
  <c r="V157" i="43"/>
  <c r="U157" i="43"/>
  <c r="T157" i="43"/>
  <c r="S157" i="43"/>
  <c r="Q157" i="43"/>
  <c r="O157" i="43"/>
  <c r="M157" i="43"/>
  <c r="K157" i="43"/>
  <c r="X156" i="43"/>
  <c r="W156" i="43"/>
  <c r="V156" i="43"/>
  <c r="U156" i="43"/>
  <c r="T156" i="43"/>
  <c r="S156" i="43"/>
  <c r="Q156" i="43"/>
  <c r="O156" i="43"/>
  <c r="M156" i="43"/>
  <c r="K156" i="43"/>
  <c r="X155" i="43"/>
  <c r="W155" i="43"/>
  <c r="V155" i="43"/>
  <c r="U155" i="43"/>
  <c r="T155" i="43"/>
  <c r="S155" i="43"/>
  <c r="Q155" i="43"/>
  <c r="O155" i="43"/>
  <c r="M155" i="43"/>
  <c r="K155" i="43"/>
  <c r="X154" i="43"/>
  <c r="W154" i="43"/>
  <c r="V154" i="43"/>
  <c r="U154" i="43"/>
  <c r="T154" i="43"/>
  <c r="S154" i="43"/>
  <c r="Q154" i="43"/>
  <c r="O154" i="43"/>
  <c r="M154" i="43"/>
  <c r="K154" i="43"/>
  <c r="X153" i="43"/>
  <c r="W153" i="43"/>
  <c r="V153" i="43"/>
  <c r="U153" i="43"/>
  <c r="T153" i="43"/>
  <c r="S153" i="43"/>
  <c r="Q153" i="43"/>
  <c r="O153" i="43"/>
  <c r="M153" i="43"/>
  <c r="K153" i="43"/>
  <c r="X152" i="43"/>
  <c r="W152" i="43"/>
  <c r="V152" i="43"/>
  <c r="U152" i="43"/>
  <c r="T152" i="43"/>
  <c r="S152" i="43"/>
  <c r="Q152" i="43"/>
  <c r="O152" i="43"/>
  <c r="M152" i="43"/>
  <c r="K152" i="43"/>
  <c r="X151" i="43"/>
  <c r="W151" i="43"/>
  <c r="V151" i="43"/>
  <c r="U151" i="43"/>
  <c r="T151" i="43"/>
  <c r="S151" i="43"/>
  <c r="Q151" i="43"/>
  <c r="O151" i="43"/>
  <c r="M151" i="43"/>
  <c r="K151" i="43"/>
  <c r="X150" i="43"/>
  <c r="W150" i="43"/>
  <c r="V150" i="43"/>
  <c r="U150" i="43"/>
  <c r="T150" i="43"/>
  <c r="S150" i="43"/>
  <c r="Q150" i="43"/>
  <c r="O150" i="43"/>
  <c r="M150" i="43"/>
  <c r="K150" i="43"/>
  <c r="X149" i="43"/>
  <c r="W149" i="43"/>
  <c r="V149" i="43"/>
  <c r="U149" i="43"/>
  <c r="T149" i="43"/>
  <c r="S149" i="43"/>
  <c r="Q149" i="43"/>
  <c r="O149" i="43"/>
  <c r="M149" i="43"/>
  <c r="K149" i="43"/>
  <c r="X148" i="43"/>
  <c r="W148" i="43"/>
  <c r="V148" i="43"/>
  <c r="U148" i="43"/>
  <c r="T148" i="43"/>
  <c r="S148" i="43"/>
  <c r="Q148" i="43"/>
  <c r="O148" i="43"/>
  <c r="M148" i="43"/>
  <c r="K148" i="43"/>
  <c r="X147" i="43"/>
  <c r="W147" i="43"/>
  <c r="V147" i="43"/>
  <c r="U147" i="43"/>
  <c r="T147" i="43"/>
  <c r="S147" i="43"/>
  <c r="Q147" i="43"/>
  <c r="O147" i="43"/>
  <c r="M147" i="43"/>
  <c r="K147" i="43"/>
  <c r="X146" i="43"/>
  <c r="W146" i="43"/>
  <c r="V146" i="43"/>
  <c r="U146" i="43"/>
  <c r="T146" i="43"/>
  <c r="S146" i="43"/>
  <c r="Q146" i="43"/>
  <c r="O146" i="43"/>
  <c r="M146" i="43"/>
  <c r="K146" i="43"/>
  <c r="X145" i="43"/>
  <c r="W145" i="43"/>
  <c r="V145" i="43"/>
  <c r="U145" i="43"/>
  <c r="T145" i="43"/>
  <c r="S145" i="43"/>
  <c r="Q145" i="43"/>
  <c r="O145" i="43"/>
  <c r="M145" i="43"/>
  <c r="K145" i="43"/>
  <c r="X144" i="43"/>
  <c r="W144" i="43"/>
  <c r="V144" i="43"/>
  <c r="U144" i="43"/>
  <c r="T144" i="43"/>
  <c r="S144" i="43"/>
  <c r="Q144" i="43"/>
  <c r="O144" i="43"/>
  <c r="M144" i="43"/>
  <c r="K144" i="43"/>
  <c r="X143" i="43"/>
  <c r="W143" i="43"/>
  <c r="V143" i="43"/>
  <c r="U143" i="43"/>
  <c r="T143" i="43"/>
  <c r="S143" i="43"/>
  <c r="Q143" i="43"/>
  <c r="O143" i="43"/>
  <c r="M143" i="43"/>
  <c r="K143" i="43"/>
  <c r="X142" i="43"/>
  <c r="W142" i="43"/>
  <c r="V142" i="43"/>
  <c r="U142" i="43"/>
  <c r="T142" i="43"/>
  <c r="S142" i="43"/>
  <c r="Q142" i="43"/>
  <c r="O142" i="43"/>
  <c r="M142" i="43"/>
  <c r="K142" i="43"/>
  <c r="X141" i="43"/>
  <c r="W141" i="43"/>
  <c r="V141" i="43"/>
  <c r="U141" i="43"/>
  <c r="T141" i="43"/>
  <c r="S141" i="43"/>
  <c r="Q141" i="43"/>
  <c r="O141" i="43"/>
  <c r="M141" i="43"/>
  <c r="K141" i="43"/>
  <c r="X140" i="43"/>
  <c r="W140" i="43"/>
  <c r="V140" i="43"/>
  <c r="U140" i="43"/>
  <c r="T140" i="43"/>
  <c r="S140" i="43"/>
  <c r="Q140" i="43"/>
  <c r="O140" i="43"/>
  <c r="M140" i="43"/>
  <c r="K140" i="43"/>
  <c r="X139" i="43"/>
  <c r="W139" i="43"/>
  <c r="V139" i="43"/>
  <c r="U139" i="43"/>
  <c r="T139" i="43"/>
  <c r="S139" i="43"/>
  <c r="Q139" i="43"/>
  <c r="O139" i="43"/>
  <c r="M139" i="43"/>
  <c r="K139" i="43"/>
  <c r="X138" i="43"/>
  <c r="W138" i="43"/>
  <c r="V138" i="43"/>
  <c r="U138" i="43"/>
  <c r="T138" i="43"/>
  <c r="S138" i="43"/>
  <c r="Q138" i="43"/>
  <c r="O138" i="43"/>
  <c r="M138" i="43"/>
  <c r="K138" i="43"/>
  <c r="X137" i="43"/>
  <c r="W137" i="43"/>
  <c r="V137" i="43"/>
  <c r="U137" i="43"/>
  <c r="T137" i="43"/>
  <c r="S137" i="43"/>
  <c r="Q137" i="43"/>
  <c r="O137" i="43"/>
  <c r="M137" i="43"/>
  <c r="K137" i="43"/>
  <c r="X136" i="43"/>
  <c r="W136" i="43"/>
  <c r="V136" i="43"/>
  <c r="U136" i="43"/>
  <c r="T136" i="43"/>
  <c r="S136" i="43"/>
  <c r="Q136" i="43"/>
  <c r="O136" i="43"/>
  <c r="M136" i="43"/>
  <c r="K136" i="43"/>
  <c r="X135" i="43"/>
  <c r="W135" i="43"/>
  <c r="V135" i="43"/>
  <c r="U135" i="43"/>
  <c r="T135" i="43"/>
  <c r="S135" i="43"/>
  <c r="Q135" i="43"/>
  <c r="O135" i="43"/>
  <c r="M135" i="43"/>
  <c r="K135" i="43"/>
  <c r="X134" i="43"/>
  <c r="W134" i="43"/>
  <c r="V134" i="43"/>
  <c r="U134" i="43"/>
  <c r="T134" i="43"/>
  <c r="S134" i="43"/>
  <c r="Q134" i="43"/>
  <c r="O134" i="43"/>
  <c r="M134" i="43"/>
  <c r="K134" i="43"/>
  <c r="X133" i="43"/>
  <c r="W133" i="43"/>
  <c r="V133" i="43"/>
  <c r="U133" i="43"/>
  <c r="T133" i="43"/>
  <c r="S133" i="43"/>
  <c r="Q133" i="43"/>
  <c r="O133" i="43"/>
  <c r="M133" i="43"/>
  <c r="K133" i="43"/>
  <c r="X132" i="43"/>
  <c r="W132" i="43"/>
  <c r="V132" i="43"/>
  <c r="U132" i="43"/>
  <c r="T132" i="43"/>
  <c r="S132" i="43"/>
  <c r="Q132" i="43"/>
  <c r="O132" i="43"/>
  <c r="M132" i="43"/>
  <c r="K132" i="43"/>
  <c r="X131" i="43"/>
  <c r="W131" i="43"/>
  <c r="V131" i="43"/>
  <c r="U131" i="43"/>
  <c r="T131" i="43"/>
  <c r="S131" i="43"/>
  <c r="Q131" i="43"/>
  <c r="O131" i="43"/>
  <c r="M131" i="43"/>
  <c r="K131" i="43"/>
  <c r="X130" i="43"/>
  <c r="W130" i="43"/>
  <c r="V130" i="43"/>
  <c r="U130" i="43"/>
  <c r="T130" i="43"/>
  <c r="S130" i="43"/>
  <c r="Q130" i="43"/>
  <c r="O130" i="43"/>
  <c r="M130" i="43"/>
  <c r="K130" i="43"/>
  <c r="X129" i="43"/>
  <c r="W129" i="43"/>
  <c r="V129" i="43"/>
  <c r="U129" i="43"/>
  <c r="T129" i="43"/>
  <c r="S129" i="43"/>
  <c r="Q129" i="43"/>
  <c r="O129" i="43"/>
  <c r="M129" i="43"/>
  <c r="K129" i="43"/>
  <c r="X128" i="43"/>
  <c r="W128" i="43"/>
  <c r="V128" i="43"/>
  <c r="U128" i="43"/>
  <c r="T128" i="43"/>
  <c r="S128" i="43"/>
  <c r="Q128" i="43"/>
  <c r="O128" i="43"/>
  <c r="M128" i="43"/>
  <c r="K128" i="43"/>
  <c r="X127" i="43"/>
  <c r="W127" i="43"/>
  <c r="V127" i="43"/>
  <c r="U127" i="43"/>
  <c r="T127" i="43"/>
  <c r="S127" i="43"/>
  <c r="Q127" i="43"/>
  <c r="O127" i="43"/>
  <c r="M127" i="43"/>
  <c r="K127" i="43"/>
  <c r="X126" i="43"/>
  <c r="W126" i="43"/>
  <c r="V126" i="43"/>
  <c r="U126" i="43"/>
  <c r="T126" i="43"/>
  <c r="S126" i="43"/>
  <c r="Q126" i="43"/>
  <c r="O126" i="43"/>
  <c r="M126" i="43"/>
  <c r="K126" i="43"/>
  <c r="X125" i="43"/>
  <c r="W125" i="43"/>
  <c r="V125" i="43"/>
  <c r="U125" i="43"/>
  <c r="T125" i="43"/>
  <c r="S125" i="43"/>
  <c r="Q125" i="43"/>
  <c r="O125" i="43"/>
  <c r="M125" i="43"/>
  <c r="K125" i="43"/>
  <c r="X124" i="43"/>
  <c r="W124" i="43"/>
  <c r="V124" i="43"/>
  <c r="U124" i="43"/>
  <c r="T124" i="43"/>
  <c r="S124" i="43"/>
  <c r="Q124" i="43"/>
  <c r="O124" i="43"/>
  <c r="M124" i="43"/>
  <c r="K124" i="43"/>
  <c r="X123" i="43"/>
  <c r="W123" i="43"/>
  <c r="V123" i="43"/>
  <c r="U123" i="43"/>
  <c r="T123" i="43"/>
  <c r="S123" i="43"/>
  <c r="Q123" i="43"/>
  <c r="O123" i="43"/>
  <c r="M123" i="43"/>
  <c r="K123" i="43"/>
  <c r="X122" i="43"/>
  <c r="W122" i="43"/>
  <c r="V122" i="43"/>
  <c r="U122" i="43"/>
  <c r="T122" i="43"/>
  <c r="S122" i="43"/>
  <c r="Q122" i="43"/>
  <c r="O122" i="43"/>
  <c r="M122" i="43"/>
  <c r="K122" i="43"/>
  <c r="X121" i="43"/>
  <c r="W121" i="43"/>
  <c r="V121" i="43"/>
  <c r="U121" i="43"/>
  <c r="T121" i="43"/>
  <c r="S121" i="43"/>
  <c r="Q121" i="43"/>
  <c r="O121" i="43"/>
  <c r="M121" i="43"/>
  <c r="K121" i="43"/>
  <c r="X120" i="43"/>
  <c r="W120" i="43"/>
  <c r="V120" i="43"/>
  <c r="U120" i="43"/>
  <c r="T120" i="43"/>
  <c r="S120" i="43"/>
  <c r="Q120" i="43"/>
  <c r="O120" i="43"/>
  <c r="M120" i="43"/>
  <c r="K120" i="43"/>
  <c r="X119" i="43"/>
  <c r="W119" i="43"/>
  <c r="V119" i="43"/>
  <c r="U119" i="43"/>
  <c r="T119" i="43"/>
  <c r="S119" i="43"/>
  <c r="Q119" i="43"/>
  <c r="O119" i="43"/>
  <c r="M119" i="43"/>
  <c r="K119" i="43"/>
  <c r="X118" i="43"/>
  <c r="W118" i="43"/>
  <c r="V118" i="43"/>
  <c r="U118" i="43"/>
  <c r="T118" i="43"/>
  <c r="S118" i="43"/>
  <c r="Q118" i="43"/>
  <c r="O118" i="43"/>
  <c r="M118" i="43"/>
  <c r="K118" i="43"/>
  <c r="X117" i="43"/>
  <c r="W117" i="43"/>
  <c r="V117" i="43"/>
  <c r="U117" i="43"/>
  <c r="T117" i="43"/>
  <c r="S117" i="43"/>
  <c r="Q117" i="43"/>
  <c r="O117" i="43"/>
  <c r="M117" i="43"/>
  <c r="K117" i="43"/>
  <c r="X116" i="43"/>
  <c r="W116" i="43"/>
  <c r="V116" i="43"/>
  <c r="U116" i="43"/>
  <c r="T116" i="43"/>
  <c r="S116" i="43"/>
  <c r="Q116" i="43"/>
  <c r="O116" i="43"/>
  <c r="M116" i="43"/>
  <c r="K116" i="43"/>
  <c r="X115" i="43"/>
  <c r="W115" i="43"/>
  <c r="V115" i="43"/>
  <c r="U115" i="43"/>
  <c r="T115" i="43"/>
  <c r="S115" i="43"/>
  <c r="Q115" i="43"/>
  <c r="O115" i="43"/>
  <c r="M115" i="43"/>
  <c r="K115" i="43"/>
  <c r="X114" i="43"/>
  <c r="W114" i="43"/>
  <c r="V114" i="43"/>
  <c r="U114" i="43"/>
  <c r="T114" i="43"/>
  <c r="S114" i="43"/>
  <c r="Q114" i="43"/>
  <c r="O114" i="43"/>
  <c r="M114" i="43"/>
  <c r="K114" i="43"/>
  <c r="X113" i="43"/>
  <c r="W113" i="43"/>
  <c r="V113" i="43"/>
  <c r="U113" i="43"/>
  <c r="T113" i="43"/>
  <c r="S113" i="43"/>
  <c r="Q113" i="43"/>
  <c r="O113" i="43"/>
  <c r="M113" i="43"/>
  <c r="K113" i="43"/>
  <c r="X112" i="43"/>
  <c r="W112" i="43"/>
  <c r="V112" i="43"/>
  <c r="U112" i="43"/>
  <c r="T112" i="43"/>
  <c r="S112" i="43"/>
  <c r="Q112" i="43"/>
  <c r="O112" i="43"/>
  <c r="M112" i="43"/>
  <c r="K112" i="43"/>
  <c r="X111" i="43"/>
  <c r="W111" i="43"/>
  <c r="V111" i="43"/>
  <c r="U111" i="43"/>
  <c r="T111" i="43"/>
  <c r="S111" i="43"/>
  <c r="Q111" i="43"/>
  <c r="O111" i="43"/>
  <c r="M111" i="43"/>
  <c r="K111" i="43"/>
  <c r="X110" i="43"/>
  <c r="W110" i="43"/>
  <c r="V110" i="43"/>
  <c r="U110" i="43"/>
  <c r="T110" i="43"/>
  <c r="S110" i="43"/>
  <c r="Q110" i="43"/>
  <c r="O110" i="43"/>
  <c r="M110" i="43"/>
  <c r="K110" i="43"/>
  <c r="X109" i="43"/>
  <c r="W109" i="43"/>
  <c r="V109" i="43"/>
  <c r="U109" i="43"/>
  <c r="T109" i="43"/>
  <c r="S109" i="43"/>
  <c r="Q109" i="43"/>
  <c r="O109" i="43"/>
  <c r="M109" i="43"/>
  <c r="K109" i="43"/>
  <c r="X108" i="43"/>
  <c r="W108" i="43"/>
  <c r="V108" i="43"/>
  <c r="U108" i="43"/>
  <c r="T108" i="43"/>
  <c r="S108" i="43"/>
  <c r="Q108" i="43"/>
  <c r="O108" i="43"/>
  <c r="M108" i="43"/>
  <c r="K108" i="43"/>
  <c r="X107" i="43"/>
  <c r="W107" i="43"/>
  <c r="V107" i="43"/>
  <c r="U107" i="43"/>
  <c r="T107" i="43"/>
  <c r="S107" i="43"/>
  <c r="Q107" i="43"/>
  <c r="O107" i="43"/>
  <c r="M107" i="43"/>
  <c r="K107" i="43"/>
  <c r="X106" i="43"/>
  <c r="W106" i="43"/>
  <c r="V106" i="43"/>
  <c r="U106" i="43"/>
  <c r="T106" i="43"/>
  <c r="S106" i="43"/>
  <c r="Q106" i="43"/>
  <c r="O106" i="43"/>
  <c r="M106" i="43"/>
  <c r="K106" i="43"/>
  <c r="X105" i="43"/>
  <c r="W105" i="43"/>
  <c r="V105" i="43"/>
  <c r="U105" i="43"/>
  <c r="T105" i="43"/>
  <c r="S105" i="43"/>
  <c r="Q105" i="43"/>
  <c r="O105" i="43"/>
  <c r="M105" i="43"/>
  <c r="K105" i="43"/>
  <c r="X104" i="43"/>
  <c r="W104" i="43"/>
  <c r="V104" i="43"/>
  <c r="U104" i="43"/>
  <c r="T104" i="43"/>
  <c r="S104" i="43"/>
  <c r="Q104" i="43"/>
  <c r="O104" i="43"/>
  <c r="M104" i="43"/>
  <c r="K104" i="43"/>
  <c r="X103" i="43"/>
  <c r="W103" i="43"/>
  <c r="V103" i="43"/>
  <c r="U103" i="43"/>
  <c r="T103" i="43"/>
  <c r="S103" i="43"/>
  <c r="Q103" i="43"/>
  <c r="O103" i="43"/>
  <c r="M103" i="43"/>
  <c r="K103" i="43"/>
  <c r="X102" i="43"/>
  <c r="W102" i="43"/>
  <c r="V102" i="43"/>
  <c r="U102" i="43"/>
  <c r="T102" i="43"/>
  <c r="S102" i="43"/>
  <c r="Q102" i="43"/>
  <c r="O102" i="43"/>
  <c r="M102" i="43"/>
  <c r="K102" i="43"/>
  <c r="X101" i="43"/>
  <c r="W101" i="43"/>
  <c r="V101" i="43"/>
  <c r="U101" i="43"/>
  <c r="T101" i="43"/>
  <c r="S101" i="43"/>
  <c r="Q101" i="43"/>
  <c r="O101" i="43"/>
  <c r="M101" i="43"/>
  <c r="K101" i="43"/>
  <c r="X100" i="43"/>
  <c r="W100" i="43"/>
  <c r="V100" i="43"/>
  <c r="U100" i="43"/>
  <c r="T100" i="43"/>
  <c r="S100" i="43"/>
  <c r="Q100" i="43"/>
  <c r="O100" i="43"/>
  <c r="M100" i="43"/>
  <c r="K100" i="43"/>
  <c r="X99" i="43"/>
  <c r="W99" i="43"/>
  <c r="V99" i="43"/>
  <c r="U99" i="43"/>
  <c r="T99" i="43"/>
  <c r="S99" i="43"/>
  <c r="Q99" i="43"/>
  <c r="O99" i="43"/>
  <c r="M99" i="43"/>
  <c r="K99" i="43"/>
  <c r="X98" i="43"/>
  <c r="W98" i="43"/>
  <c r="V98" i="43"/>
  <c r="U98" i="43"/>
  <c r="T98" i="43"/>
  <c r="S98" i="43"/>
  <c r="Q98" i="43"/>
  <c r="O98" i="43"/>
  <c r="M98" i="43"/>
  <c r="K98" i="43"/>
  <c r="X97" i="43"/>
  <c r="W97" i="43"/>
  <c r="V97" i="43"/>
  <c r="U97" i="43"/>
  <c r="T97" i="43"/>
  <c r="S97" i="43"/>
  <c r="Q97" i="43"/>
  <c r="O97" i="43"/>
  <c r="M97" i="43"/>
  <c r="K97" i="43"/>
  <c r="X96" i="43"/>
  <c r="W96" i="43"/>
  <c r="V96" i="43"/>
  <c r="U96" i="43"/>
  <c r="T96" i="43"/>
  <c r="S96" i="43"/>
  <c r="Q96" i="43"/>
  <c r="O96" i="43"/>
  <c r="M96" i="43"/>
  <c r="K96" i="43"/>
  <c r="X95" i="43"/>
  <c r="W95" i="43"/>
  <c r="V95" i="43"/>
  <c r="U95" i="43"/>
  <c r="T95" i="43"/>
  <c r="S95" i="43"/>
  <c r="Q95" i="43"/>
  <c r="O95" i="43"/>
  <c r="M95" i="43"/>
  <c r="K95" i="43"/>
  <c r="X94" i="43"/>
  <c r="W94" i="43"/>
  <c r="V94" i="43"/>
  <c r="U94" i="43"/>
  <c r="T94" i="43"/>
  <c r="S94" i="43"/>
  <c r="Q94" i="43"/>
  <c r="O94" i="43"/>
  <c r="M94" i="43"/>
  <c r="K94" i="43"/>
  <c r="X93" i="43"/>
  <c r="W93" i="43"/>
  <c r="V93" i="43"/>
  <c r="U93" i="43"/>
  <c r="T93" i="43"/>
  <c r="S93" i="43"/>
  <c r="Q93" i="43"/>
  <c r="O93" i="43"/>
  <c r="M93" i="43"/>
  <c r="K93" i="43"/>
  <c r="X92" i="43"/>
  <c r="W92" i="43"/>
  <c r="V92" i="43"/>
  <c r="U92" i="43"/>
  <c r="T92" i="43"/>
  <c r="S92" i="43"/>
  <c r="Q92" i="43"/>
  <c r="O92" i="43"/>
  <c r="M92" i="43"/>
  <c r="K92" i="43"/>
  <c r="X91" i="43"/>
  <c r="W91" i="43"/>
  <c r="V91" i="43"/>
  <c r="U91" i="43"/>
  <c r="T91" i="43"/>
  <c r="S91" i="43"/>
  <c r="Q91" i="43"/>
  <c r="O91" i="43"/>
  <c r="M91" i="43"/>
  <c r="K91" i="43"/>
  <c r="X90" i="43"/>
  <c r="W90" i="43"/>
  <c r="V90" i="43"/>
  <c r="U90" i="43"/>
  <c r="T90" i="43"/>
  <c r="S90" i="43"/>
  <c r="Q90" i="43"/>
  <c r="O90" i="43"/>
  <c r="M90" i="43"/>
  <c r="K90" i="43"/>
  <c r="X89" i="43"/>
  <c r="W89" i="43"/>
  <c r="V89" i="43"/>
  <c r="U89" i="43"/>
  <c r="T89" i="43"/>
  <c r="S89" i="43"/>
  <c r="Q89" i="43"/>
  <c r="O89" i="43"/>
  <c r="M89" i="43"/>
  <c r="K89" i="43"/>
  <c r="X88" i="43"/>
  <c r="W88" i="43"/>
  <c r="V88" i="43"/>
  <c r="U88" i="43"/>
  <c r="T88" i="43"/>
  <c r="S88" i="43"/>
  <c r="Q88" i="43"/>
  <c r="O88" i="43"/>
  <c r="M88" i="43"/>
  <c r="K88" i="43"/>
  <c r="X87" i="43"/>
  <c r="W87" i="43"/>
  <c r="V87" i="43"/>
  <c r="U87" i="43"/>
  <c r="T87" i="43"/>
  <c r="S87" i="43"/>
  <c r="Q87" i="43"/>
  <c r="O87" i="43"/>
  <c r="M87" i="43"/>
  <c r="K87" i="43"/>
  <c r="X86" i="43"/>
  <c r="W86" i="43"/>
  <c r="V86" i="43"/>
  <c r="U86" i="43"/>
  <c r="T86" i="43"/>
  <c r="S86" i="43"/>
  <c r="Q86" i="43"/>
  <c r="O86" i="43"/>
  <c r="M86" i="43"/>
  <c r="K86" i="43"/>
  <c r="X85" i="43"/>
  <c r="W85" i="43"/>
  <c r="V85" i="43"/>
  <c r="U85" i="43"/>
  <c r="T85" i="43"/>
  <c r="S85" i="43"/>
  <c r="Q85" i="43"/>
  <c r="O85" i="43"/>
  <c r="M85" i="43"/>
  <c r="K85" i="43"/>
  <c r="X84" i="43"/>
  <c r="W84" i="43"/>
  <c r="V84" i="43"/>
  <c r="U84" i="43"/>
  <c r="T84" i="43"/>
  <c r="S84" i="43"/>
  <c r="Q84" i="43"/>
  <c r="O84" i="43"/>
  <c r="M84" i="43"/>
  <c r="K84" i="43"/>
  <c r="X83" i="43"/>
  <c r="W83" i="43"/>
  <c r="V83" i="43"/>
  <c r="U83" i="43"/>
  <c r="T83" i="43"/>
  <c r="S83" i="43"/>
  <c r="Q83" i="43"/>
  <c r="O83" i="43"/>
  <c r="M83" i="43"/>
  <c r="K83" i="43"/>
  <c r="X82" i="43"/>
  <c r="W82" i="43"/>
  <c r="V82" i="43"/>
  <c r="U82" i="43"/>
  <c r="T82" i="43"/>
  <c r="S82" i="43"/>
  <c r="Q82" i="43"/>
  <c r="O82" i="43"/>
  <c r="M82" i="43"/>
  <c r="K82" i="43"/>
  <c r="X81" i="43"/>
  <c r="W81" i="43"/>
  <c r="V81" i="43"/>
  <c r="U81" i="43"/>
  <c r="T81" i="43"/>
  <c r="S81" i="43"/>
  <c r="Q81" i="43"/>
  <c r="O81" i="43"/>
  <c r="M81" i="43"/>
  <c r="K81" i="43"/>
  <c r="X80" i="43"/>
  <c r="W80" i="43"/>
  <c r="V80" i="43"/>
  <c r="U80" i="43"/>
  <c r="T80" i="43"/>
  <c r="S80" i="43"/>
  <c r="Q80" i="43"/>
  <c r="O80" i="43"/>
  <c r="M80" i="43"/>
  <c r="K80" i="43"/>
  <c r="X79" i="43"/>
  <c r="W79" i="43"/>
  <c r="V79" i="43"/>
  <c r="U79" i="43"/>
  <c r="T79" i="43"/>
  <c r="S79" i="43"/>
  <c r="Q79" i="43"/>
  <c r="O79" i="43"/>
  <c r="M79" i="43"/>
  <c r="K79" i="43"/>
  <c r="X78" i="43"/>
  <c r="W78" i="43"/>
  <c r="V78" i="43"/>
  <c r="U78" i="43"/>
  <c r="T78" i="43"/>
  <c r="S78" i="43"/>
  <c r="Q78" i="43"/>
  <c r="O78" i="43"/>
  <c r="M78" i="43"/>
  <c r="K78" i="43"/>
  <c r="X77" i="43"/>
  <c r="W77" i="43"/>
  <c r="V77" i="43"/>
  <c r="U77" i="43"/>
  <c r="T77" i="43"/>
  <c r="S77" i="43"/>
  <c r="Q77" i="43"/>
  <c r="O77" i="43"/>
  <c r="M77" i="43"/>
  <c r="K77" i="43"/>
  <c r="X76" i="43"/>
  <c r="W76" i="43"/>
  <c r="V76" i="43"/>
  <c r="U76" i="43"/>
  <c r="T76" i="43"/>
  <c r="S76" i="43"/>
  <c r="Q76" i="43"/>
  <c r="O76" i="43"/>
  <c r="M76" i="43"/>
  <c r="K76" i="43"/>
  <c r="X75" i="43"/>
  <c r="W75" i="43"/>
  <c r="V75" i="43"/>
  <c r="U75" i="43"/>
  <c r="T75" i="43"/>
  <c r="S75" i="43"/>
  <c r="Q75" i="43"/>
  <c r="O75" i="43"/>
  <c r="M75" i="43"/>
  <c r="K75" i="43"/>
  <c r="X74" i="43"/>
  <c r="W74" i="43"/>
  <c r="V74" i="43"/>
  <c r="U74" i="43"/>
  <c r="T74" i="43"/>
  <c r="S74" i="43"/>
  <c r="Q74" i="43"/>
  <c r="O74" i="43"/>
  <c r="M74" i="43"/>
  <c r="K74" i="43"/>
  <c r="X73" i="43"/>
  <c r="W73" i="43"/>
  <c r="V73" i="43"/>
  <c r="U73" i="43"/>
  <c r="T73" i="43"/>
  <c r="S73" i="43"/>
  <c r="Q73" i="43"/>
  <c r="O73" i="43"/>
  <c r="M73" i="43"/>
  <c r="K73" i="43"/>
  <c r="X72" i="43"/>
  <c r="W72" i="43"/>
  <c r="V72" i="43"/>
  <c r="U72" i="43"/>
  <c r="T72" i="43"/>
  <c r="S72" i="43"/>
  <c r="Q72" i="43"/>
  <c r="O72" i="43"/>
  <c r="M72" i="43"/>
  <c r="K72" i="43"/>
  <c r="X71" i="43"/>
  <c r="W71" i="43"/>
  <c r="V71" i="43"/>
  <c r="U71" i="43"/>
  <c r="T71" i="43"/>
  <c r="S71" i="43"/>
  <c r="Q71" i="43"/>
  <c r="O71" i="43"/>
  <c r="M71" i="43"/>
  <c r="K71" i="43"/>
  <c r="X70" i="43"/>
  <c r="W70" i="43"/>
  <c r="V70" i="43"/>
  <c r="U70" i="43"/>
  <c r="T70" i="43"/>
  <c r="S70" i="43"/>
  <c r="Q70" i="43"/>
  <c r="O70" i="43"/>
  <c r="M70" i="43"/>
  <c r="K70" i="43"/>
  <c r="X69" i="43"/>
  <c r="W69" i="43"/>
  <c r="V69" i="43"/>
  <c r="U69" i="43"/>
  <c r="T69" i="43"/>
  <c r="S69" i="43"/>
  <c r="Q69" i="43"/>
  <c r="O69" i="43"/>
  <c r="M69" i="43"/>
  <c r="K69" i="43"/>
  <c r="X68" i="43"/>
  <c r="W68" i="43"/>
  <c r="V68" i="43"/>
  <c r="U68" i="43"/>
  <c r="T68" i="43"/>
  <c r="S68" i="43"/>
  <c r="Q68" i="43"/>
  <c r="O68" i="43"/>
  <c r="M68" i="43"/>
  <c r="K68" i="43"/>
  <c r="X67" i="43"/>
  <c r="W67" i="43"/>
  <c r="V67" i="43"/>
  <c r="U67" i="43"/>
  <c r="T67" i="43"/>
  <c r="S67" i="43"/>
  <c r="Q67" i="43"/>
  <c r="O67" i="43"/>
  <c r="M67" i="43"/>
  <c r="K67" i="43"/>
  <c r="X66" i="43"/>
  <c r="W66" i="43"/>
  <c r="V66" i="43"/>
  <c r="U66" i="43"/>
  <c r="T66" i="43"/>
  <c r="S66" i="43"/>
  <c r="Q66" i="43"/>
  <c r="O66" i="43"/>
  <c r="M66" i="43"/>
  <c r="K66" i="43"/>
  <c r="X65" i="43"/>
  <c r="W65" i="43"/>
  <c r="V65" i="43"/>
  <c r="U65" i="43"/>
  <c r="T65" i="43"/>
  <c r="S65" i="43"/>
  <c r="Q65" i="43"/>
  <c r="O65" i="43"/>
  <c r="M65" i="43"/>
  <c r="K65" i="43"/>
  <c r="X64" i="43"/>
  <c r="W64" i="43"/>
  <c r="V64" i="43"/>
  <c r="U64" i="43"/>
  <c r="T64" i="43"/>
  <c r="S64" i="43"/>
  <c r="Q64" i="43"/>
  <c r="O64" i="43"/>
  <c r="M64" i="43"/>
  <c r="K64" i="43"/>
  <c r="X63" i="43"/>
  <c r="W63" i="43"/>
  <c r="V63" i="43"/>
  <c r="U63" i="43"/>
  <c r="T63" i="43"/>
  <c r="S63" i="43"/>
  <c r="Q63" i="43"/>
  <c r="O63" i="43"/>
  <c r="M63" i="43"/>
  <c r="K63" i="43"/>
  <c r="X62" i="43"/>
  <c r="W62" i="43"/>
  <c r="V62" i="43"/>
  <c r="U62" i="43"/>
  <c r="T62" i="43"/>
  <c r="S62" i="43"/>
  <c r="Q62" i="43"/>
  <c r="O62" i="43"/>
  <c r="M62" i="43"/>
  <c r="K62" i="43"/>
  <c r="X61" i="43"/>
  <c r="W61" i="43"/>
  <c r="V61" i="43"/>
  <c r="U61" i="43"/>
  <c r="T61" i="43"/>
  <c r="S61" i="43"/>
  <c r="Q61" i="43"/>
  <c r="O61" i="43"/>
  <c r="M61" i="43"/>
  <c r="K61" i="43"/>
  <c r="X60" i="43"/>
  <c r="W60" i="43"/>
  <c r="V60" i="43"/>
  <c r="U60" i="43"/>
  <c r="T60" i="43"/>
  <c r="S60" i="43"/>
  <c r="Q60" i="43"/>
  <c r="O60" i="43"/>
  <c r="M60" i="43"/>
  <c r="K60" i="43"/>
  <c r="X59" i="43"/>
  <c r="W59" i="43"/>
  <c r="V59" i="43"/>
  <c r="U59" i="43"/>
  <c r="T59" i="43"/>
  <c r="S59" i="43"/>
  <c r="Q59" i="43"/>
  <c r="O59" i="43"/>
  <c r="M59" i="43"/>
  <c r="K59" i="43"/>
  <c r="X58" i="43"/>
  <c r="W58" i="43"/>
  <c r="V58" i="43"/>
  <c r="U58" i="43"/>
  <c r="T58" i="43"/>
  <c r="S58" i="43"/>
  <c r="Q58" i="43"/>
  <c r="O58" i="43"/>
  <c r="M58" i="43"/>
  <c r="K58" i="43"/>
  <c r="X57" i="43"/>
  <c r="W57" i="43"/>
  <c r="V57" i="43"/>
  <c r="U57" i="43"/>
  <c r="T57" i="43"/>
  <c r="S57" i="43"/>
  <c r="Q57" i="43"/>
  <c r="O57" i="43"/>
  <c r="M57" i="43"/>
  <c r="K57" i="43"/>
  <c r="X56" i="43"/>
  <c r="W56" i="43"/>
  <c r="V56" i="43"/>
  <c r="U56" i="43"/>
  <c r="T56" i="43"/>
  <c r="S56" i="43"/>
  <c r="Q56" i="43"/>
  <c r="O56" i="43"/>
  <c r="M56" i="43"/>
  <c r="K56" i="43"/>
  <c r="X55" i="43"/>
  <c r="W55" i="43"/>
  <c r="V55" i="43"/>
  <c r="U55" i="43"/>
  <c r="T55" i="43"/>
  <c r="S55" i="43"/>
  <c r="Q55" i="43"/>
  <c r="O55" i="43"/>
  <c r="M55" i="43"/>
  <c r="K55" i="43"/>
  <c r="X54" i="43"/>
  <c r="W54" i="43"/>
  <c r="V54" i="43"/>
  <c r="U54" i="43"/>
  <c r="T54" i="43"/>
  <c r="S54" i="43"/>
  <c r="Q54" i="43"/>
  <c r="O54" i="43"/>
  <c r="M54" i="43"/>
  <c r="K54" i="43"/>
  <c r="X53" i="43"/>
  <c r="W53" i="43"/>
  <c r="V53" i="43"/>
  <c r="U53" i="43"/>
  <c r="T53" i="43"/>
  <c r="S53" i="43"/>
  <c r="Q53" i="43"/>
  <c r="O53" i="43"/>
  <c r="M53" i="43"/>
  <c r="K53" i="43"/>
  <c r="X52" i="43"/>
  <c r="W52" i="43"/>
  <c r="V52" i="43"/>
  <c r="U52" i="43"/>
  <c r="T52" i="43"/>
  <c r="S52" i="43"/>
  <c r="Q52" i="43"/>
  <c r="O52" i="43"/>
  <c r="M52" i="43"/>
  <c r="K52" i="43"/>
  <c r="X51" i="43"/>
  <c r="W51" i="43"/>
  <c r="V51" i="43"/>
  <c r="U51" i="43"/>
  <c r="T51" i="43"/>
  <c r="S51" i="43"/>
  <c r="Q51" i="43"/>
  <c r="O51" i="43"/>
  <c r="M51" i="43"/>
  <c r="K51" i="43"/>
  <c r="X50" i="43"/>
  <c r="W50" i="43"/>
  <c r="V50" i="43"/>
  <c r="U50" i="43"/>
  <c r="T50" i="43"/>
  <c r="S50" i="43"/>
  <c r="Q50" i="43"/>
  <c r="O50" i="43"/>
  <c r="M50" i="43"/>
  <c r="K50" i="43"/>
  <c r="X49" i="43"/>
  <c r="W49" i="43"/>
  <c r="V49" i="43"/>
  <c r="U49" i="43"/>
  <c r="T49" i="43"/>
  <c r="S49" i="43"/>
  <c r="Q49" i="43"/>
  <c r="O49" i="43"/>
  <c r="M49" i="43"/>
  <c r="K49" i="43"/>
  <c r="X48" i="43"/>
  <c r="W48" i="43"/>
  <c r="V48" i="43"/>
  <c r="U48" i="43"/>
  <c r="T48" i="43"/>
  <c r="S48" i="43"/>
  <c r="Q48" i="43"/>
  <c r="O48" i="43"/>
  <c r="M48" i="43"/>
  <c r="K48" i="43"/>
  <c r="X47" i="43"/>
  <c r="W47" i="43"/>
  <c r="V47" i="43"/>
  <c r="U47" i="43"/>
  <c r="T47" i="43"/>
  <c r="S47" i="43"/>
  <c r="Q47" i="43"/>
  <c r="O47" i="43"/>
  <c r="M47" i="43"/>
  <c r="K47" i="43"/>
  <c r="X46" i="43"/>
  <c r="W46" i="43"/>
  <c r="V46" i="43"/>
  <c r="U46" i="43"/>
  <c r="T46" i="43"/>
  <c r="S46" i="43"/>
  <c r="Q46" i="43"/>
  <c r="O46" i="43"/>
  <c r="M46" i="43"/>
  <c r="K46" i="43"/>
  <c r="X45" i="43"/>
  <c r="W45" i="43"/>
  <c r="V45" i="43"/>
  <c r="U45" i="43"/>
  <c r="T45" i="43"/>
  <c r="S45" i="43"/>
  <c r="Q45" i="43"/>
  <c r="O45" i="43"/>
  <c r="M45" i="43"/>
  <c r="K45" i="43"/>
  <c r="X44" i="43"/>
  <c r="W44" i="43"/>
  <c r="V44" i="43"/>
  <c r="U44" i="43"/>
  <c r="T44" i="43"/>
  <c r="S44" i="43"/>
  <c r="Q44" i="43"/>
  <c r="O44" i="43"/>
  <c r="M44" i="43"/>
  <c r="K44" i="43"/>
  <c r="X43" i="43"/>
  <c r="W43" i="43"/>
  <c r="V43" i="43"/>
  <c r="U43" i="43"/>
  <c r="T43" i="43"/>
  <c r="S43" i="43"/>
  <c r="Q43" i="43"/>
  <c r="O43" i="43"/>
  <c r="M43" i="43"/>
  <c r="K43" i="43"/>
  <c r="X42" i="43"/>
  <c r="W42" i="43"/>
  <c r="V42" i="43"/>
  <c r="U42" i="43"/>
  <c r="T42" i="43"/>
  <c r="S42" i="43"/>
  <c r="Q42" i="43"/>
  <c r="O42" i="43"/>
  <c r="M42" i="43"/>
  <c r="K42" i="43"/>
  <c r="X41" i="43"/>
  <c r="W41" i="43"/>
  <c r="V41" i="43"/>
  <c r="U41" i="43"/>
  <c r="T41" i="43"/>
  <c r="S41" i="43"/>
  <c r="Q41" i="43"/>
  <c r="O41" i="43"/>
  <c r="M41" i="43"/>
  <c r="K41" i="43"/>
  <c r="X40" i="43"/>
  <c r="W40" i="43"/>
  <c r="V40" i="43"/>
  <c r="U40" i="43"/>
  <c r="T40" i="43"/>
  <c r="S40" i="43"/>
  <c r="Q40" i="43"/>
  <c r="O40" i="43"/>
  <c r="M40" i="43"/>
  <c r="K40" i="43"/>
  <c r="X39" i="43"/>
  <c r="W39" i="43"/>
  <c r="V39" i="43"/>
  <c r="U39" i="43"/>
  <c r="T39" i="43"/>
  <c r="S39" i="43"/>
  <c r="Q39" i="43"/>
  <c r="O39" i="43"/>
  <c r="M39" i="43"/>
  <c r="K39" i="43"/>
  <c r="X38" i="43"/>
  <c r="W38" i="43"/>
  <c r="V38" i="43"/>
  <c r="U38" i="43"/>
  <c r="T38" i="43"/>
  <c r="S38" i="43"/>
  <c r="Q38" i="43"/>
  <c r="O38" i="43"/>
  <c r="M38" i="43"/>
  <c r="K38" i="43"/>
  <c r="X37" i="43"/>
  <c r="W37" i="43"/>
  <c r="V37" i="43"/>
  <c r="U37" i="43"/>
  <c r="T37" i="43"/>
  <c r="S37" i="43"/>
  <c r="Q37" i="43"/>
  <c r="O37" i="43"/>
  <c r="M37" i="43"/>
  <c r="K37" i="43"/>
  <c r="X36" i="43"/>
  <c r="W36" i="43"/>
  <c r="V36" i="43"/>
  <c r="U36" i="43"/>
  <c r="T36" i="43"/>
  <c r="S36" i="43"/>
  <c r="Q36" i="43"/>
  <c r="O36" i="43"/>
  <c r="M36" i="43"/>
  <c r="K36" i="43"/>
  <c r="X35" i="43"/>
  <c r="W35" i="43"/>
  <c r="V35" i="43"/>
  <c r="U35" i="43"/>
  <c r="T35" i="43"/>
  <c r="S35" i="43"/>
  <c r="Q35" i="43"/>
  <c r="O35" i="43"/>
  <c r="M35" i="43"/>
  <c r="K35" i="43"/>
  <c r="X34" i="43"/>
  <c r="W34" i="43"/>
  <c r="V34" i="43"/>
  <c r="U34" i="43"/>
  <c r="T34" i="43"/>
  <c r="S34" i="43"/>
  <c r="Q34" i="43"/>
  <c r="O34" i="43"/>
  <c r="M34" i="43"/>
  <c r="K34" i="43"/>
  <c r="X33" i="43"/>
  <c r="W33" i="43"/>
  <c r="V33" i="43"/>
  <c r="U33" i="43"/>
  <c r="T33" i="43"/>
  <c r="S33" i="43"/>
  <c r="Q33" i="43"/>
  <c r="O33" i="43"/>
  <c r="M33" i="43"/>
  <c r="K33" i="43"/>
  <c r="X32" i="43"/>
  <c r="W32" i="43"/>
  <c r="V32" i="43"/>
  <c r="U32" i="43"/>
  <c r="T32" i="43"/>
  <c r="S32" i="43"/>
  <c r="Q32" i="43"/>
  <c r="O32" i="43"/>
  <c r="M32" i="43"/>
  <c r="K32" i="43"/>
  <c r="X31" i="43"/>
  <c r="W31" i="43"/>
  <c r="V31" i="43"/>
  <c r="U31" i="43"/>
  <c r="T31" i="43"/>
  <c r="S31" i="43"/>
  <c r="Q31" i="43"/>
  <c r="O31" i="43"/>
  <c r="M31" i="43"/>
  <c r="K31" i="43"/>
  <c r="X30" i="43"/>
  <c r="W30" i="43"/>
  <c r="V30" i="43"/>
  <c r="U30" i="43"/>
  <c r="T30" i="43"/>
  <c r="S30" i="43"/>
  <c r="Q30" i="43"/>
  <c r="O30" i="43"/>
  <c r="M30" i="43"/>
  <c r="K30" i="43"/>
  <c r="X29" i="43"/>
  <c r="W29" i="43"/>
  <c r="V29" i="43"/>
  <c r="U29" i="43"/>
  <c r="T29" i="43"/>
  <c r="S29" i="43"/>
  <c r="Q29" i="43"/>
  <c r="O29" i="43"/>
  <c r="M29" i="43"/>
  <c r="K29" i="43"/>
  <c r="X28" i="43"/>
  <c r="W28" i="43"/>
  <c r="V28" i="43"/>
  <c r="U28" i="43"/>
  <c r="T28" i="43"/>
  <c r="S28" i="43"/>
  <c r="Q28" i="43"/>
  <c r="O28" i="43"/>
  <c r="M28" i="43"/>
  <c r="K28" i="43"/>
  <c r="X27" i="43"/>
  <c r="W27" i="43"/>
  <c r="V27" i="43"/>
  <c r="U27" i="43"/>
  <c r="T27" i="43"/>
  <c r="S27" i="43"/>
  <c r="Q27" i="43"/>
  <c r="O27" i="43"/>
  <c r="M27" i="43"/>
  <c r="K27" i="43"/>
  <c r="X26" i="43"/>
  <c r="W26" i="43"/>
  <c r="V26" i="43"/>
  <c r="U26" i="43"/>
  <c r="T26" i="43"/>
  <c r="S26" i="43"/>
  <c r="Q26" i="43"/>
  <c r="O26" i="43"/>
  <c r="M26" i="43"/>
  <c r="K26" i="43"/>
  <c r="X25" i="43"/>
  <c r="W25" i="43"/>
  <c r="V25" i="43"/>
  <c r="U25" i="43"/>
  <c r="T25" i="43"/>
  <c r="S25" i="43"/>
  <c r="Q25" i="43"/>
  <c r="O25" i="43"/>
  <c r="M25" i="43"/>
  <c r="K25" i="43"/>
  <c r="X24" i="43"/>
  <c r="W24" i="43"/>
  <c r="V24" i="43"/>
  <c r="U24" i="43"/>
  <c r="T24" i="43"/>
  <c r="S24" i="43"/>
  <c r="Q24" i="43"/>
  <c r="O24" i="43"/>
  <c r="M24" i="43"/>
  <c r="K24" i="43"/>
  <c r="X23" i="43"/>
  <c r="W23" i="43"/>
  <c r="V23" i="43"/>
  <c r="U23" i="43"/>
  <c r="T23" i="43"/>
  <c r="S23" i="43"/>
  <c r="Q23" i="43"/>
  <c r="O23" i="43"/>
  <c r="M23" i="43"/>
  <c r="K23" i="43"/>
  <c r="X22" i="43"/>
  <c r="W22" i="43"/>
  <c r="V22" i="43"/>
  <c r="U22" i="43"/>
  <c r="T22" i="43"/>
  <c r="S22" i="43"/>
  <c r="Q22" i="43"/>
  <c r="O22" i="43"/>
  <c r="M22" i="43"/>
  <c r="K22" i="43"/>
  <c r="X21" i="43"/>
  <c r="W21" i="43"/>
  <c r="V21" i="43"/>
  <c r="U21" i="43"/>
  <c r="T21" i="43"/>
  <c r="S21" i="43"/>
  <c r="Q21" i="43"/>
  <c r="O21" i="43"/>
  <c r="M21" i="43"/>
  <c r="K21" i="43"/>
  <c r="X20" i="43"/>
  <c r="W20" i="43"/>
  <c r="V20" i="43"/>
  <c r="U20" i="43"/>
  <c r="T20" i="43"/>
  <c r="S20" i="43"/>
  <c r="Q20" i="43"/>
  <c r="O20" i="43"/>
  <c r="M20" i="43"/>
  <c r="K20" i="43"/>
  <c r="X19" i="43"/>
  <c r="W19" i="43"/>
  <c r="V19" i="43"/>
  <c r="U19" i="43"/>
  <c r="T19" i="43"/>
  <c r="S19" i="43"/>
  <c r="Q19" i="43"/>
  <c r="O19" i="43"/>
  <c r="M19" i="43"/>
  <c r="K19" i="43"/>
  <c r="X18" i="43"/>
  <c r="W18" i="43"/>
  <c r="V18" i="43"/>
  <c r="U18" i="43"/>
  <c r="T18" i="43"/>
  <c r="S18" i="43"/>
  <c r="Q18" i="43"/>
  <c r="O18" i="43"/>
  <c r="M18" i="43"/>
  <c r="K18" i="43"/>
  <c r="X17" i="43"/>
  <c r="W17" i="43"/>
  <c r="V17" i="43"/>
  <c r="U17" i="43"/>
  <c r="T17" i="43"/>
  <c r="S17" i="43"/>
  <c r="Q17" i="43"/>
  <c r="O17" i="43"/>
  <c r="M17" i="43"/>
  <c r="K17" i="43"/>
  <c r="X16" i="43"/>
  <c r="W16" i="43"/>
  <c r="V16" i="43"/>
  <c r="U16" i="43"/>
  <c r="T16" i="43"/>
  <c r="S16" i="43"/>
  <c r="Q16" i="43"/>
  <c r="O16" i="43"/>
  <c r="M16" i="43"/>
  <c r="K16" i="43"/>
  <c r="X15" i="43"/>
  <c r="W15" i="43"/>
  <c r="V15" i="43"/>
  <c r="U15" i="43"/>
  <c r="T15" i="43"/>
  <c r="S15" i="43"/>
  <c r="Q15" i="43"/>
  <c r="O15" i="43"/>
  <c r="M15" i="43"/>
  <c r="K15" i="43"/>
  <c r="X14" i="43"/>
  <c r="W14" i="43"/>
  <c r="V14" i="43"/>
  <c r="U14" i="43"/>
  <c r="T14" i="43"/>
  <c r="S14" i="43"/>
  <c r="Q14" i="43"/>
  <c r="O14" i="43"/>
  <c r="M14" i="43"/>
  <c r="K14" i="43"/>
  <c r="X13" i="43"/>
  <c r="W13" i="43"/>
  <c r="V13" i="43"/>
  <c r="U13" i="43"/>
  <c r="T13" i="43"/>
  <c r="S13" i="43"/>
  <c r="Q13" i="43"/>
  <c r="O13" i="43"/>
  <c r="M13" i="43"/>
  <c r="K13" i="43"/>
  <c r="X12" i="43"/>
  <c r="W12" i="43"/>
  <c r="V12" i="43"/>
  <c r="U12" i="43"/>
  <c r="T12" i="43"/>
  <c r="S12" i="43"/>
  <c r="Q12" i="43"/>
  <c r="O12" i="43"/>
  <c r="M12" i="43"/>
  <c r="K12" i="43"/>
  <c r="X11" i="43"/>
  <c r="W11" i="43"/>
  <c r="V11" i="43"/>
  <c r="U11" i="43"/>
  <c r="T11" i="43"/>
  <c r="S11" i="43"/>
  <c r="Q11" i="43"/>
  <c r="O11" i="43"/>
  <c r="M11" i="43"/>
  <c r="K11" i="43"/>
  <c r="X10" i="43"/>
  <c r="W10" i="43"/>
  <c r="V10" i="43"/>
  <c r="U10" i="43"/>
  <c r="T10" i="43"/>
  <c r="S10" i="43"/>
  <c r="Q10" i="43"/>
  <c r="O10" i="43"/>
  <c r="M10" i="43"/>
  <c r="K10" i="43"/>
  <c r="X9" i="43"/>
  <c r="W9" i="43"/>
  <c r="V9" i="43"/>
  <c r="U9" i="43"/>
  <c r="T9" i="43"/>
  <c r="S9" i="43"/>
  <c r="Q9" i="43"/>
  <c r="O9" i="43"/>
  <c r="M9" i="43"/>
  <c r="K9" i="43"/>
  <c r="X8" i="43"/>
  <c r="W8" i="43"/>
  <c r="V8" i="43"/>
  <c r="U8" i="43"/>
  <c r="T8" i="43"/>
  <c r="S8" i="43"/>
  <c r="Q8" i="43"/>
  <c r="O8" i="43"/>
  <c r="M8" i="43"/>
  <c r="K8" i="43"/>
  <c r="X7" i="43"/>
  <c r="W7" i="43"/>
  <c r="V7" i="43"/>
  <c r="U7" i="43"/>
  <c r="T7" i="43"/>
  <c r="S7" i="43"/>
  <c r="Q7" i="43"/>
  <c r="O7" i="43"/>
  <c r="M7" i="43"/>
  <c r="K7" i="43"/>
  <c r="X361" i="42"/>
  <c r="W361" i="42"/>
  <c r="V361" i="42"/>
  <c r="U361" i="42"/>
  <c r="T361" i="42"/>
  <c r="S361" i="42"/>
  <c r="Q361" i="42"/>
  <c r="O361" i="42"/>
  <c r="M361" i="42"/>
  <c r="K361" i="42"/>
  <c r="X360" i="42"/>
  <c r="W360" i="42"/>
  <c r="V360" i="42"/>
  <c r="U360" i="42"/>
  <c r="T360" i="42"/>
  <c r="S360" i="42"/>
  <c r="Q360" i="42"/>
  <c r="O360" i="42"/>
  <c r="M360" i="42"/>
  <c r="K360" i="42"/>
  <c r="X359" i="42"/>
  <c r="W359" i="42"/>
  <c r="V359" i="42"/>
  <c r="U359" i="42"/>
  <c r="T359" i="42"/>
  <c r="S359" i="42"/>
  <c r="Q359" i="42"/>
  <c r="O359" i="42"/>
  <c r="M359" i="42"/>
  <c r="K359" i="42"/>
  <c r="X358" i="42"/>
  <c r="W358" i="42"/>
  <c r="V358" i="42"/>
  <c r="U358" i="42"/>
  <c r="T358" i="42"/>
  <c r="S358" i="42"/>
  <c r="Q358" i="42"/>
  <c r="O358" i="42"/>
  <c r="M358" i="42"/>
  <c r="K358" i="42"/>
  <c r="X357" i="42"/>
  <c r="W357" i="42"/>
  <c r="V357" i="42"/>
  <c r="U357" i="42"/>
  <c r="T357" i="42"/>
  <c r="S357" i="42"/>
  <c r="Q357" i="42"/>
  <c r="O357" i="42"/>
  <c r="M357" i="42"/>
  <c r="K357" i="42"/>
  <c r="X356" i="42"/>
  <c r="W356" i="42"/>
  <c r="V356" i="42"/>
  <c r="U356" i="42"/>
  <c r="T356" i="42"/>
  <c r="S356" i="42"/>
  <c r="Q356" i="42"/>
  <c r="O356" i="42"/>
  <c r="M356" i="42"/>
  <c r="K356" i="42"/>
  <c r="X355" i="42"/>
  <c r="W355" i="42"/>
  <c r="V355" i="42"/>
  <c r="U355" i="42"/>
  <c r="T355" i="42"/>
  <c r="S355" i="42"/>
  <c r="Q355" i="42"/>
  <c r="O355" i="42"/>
  <c r="M355" i="42"/>
  <c r="K355" i="42"/>
  <c r="X354" i="42"/>
  <c r="W354" i="42"/>
  <c r="V354" i="42"/>
  <c r="U354" i="42"/>
  <c r="T354" i="42"/>
  <c r="S354" i="42"/>
  <c r="Q354" i="42"/>
  <c r="O354" i="42"/>
  <c r="M354" i="42"/>
  <c r="K354" i="42"/>
  <c r="X353" i="42"/>
  <c r="W353" i="42"/>
  <c r="V353" i="42"/>
  <c r="U353" i="42"/>
  <c r="T353" i="42"/>
  <c r="S353" i="42"/>
  <c r="Q353" i="42"/>
  <c r="O353" i="42"/>
  <c r="M353" i="42"/>
  <c r="K353" i="42"/>
  <c r="X352" i="42"/>
  <c r="W352" i="42"/>
  <c r="V352" i="42"/>
  <c r="U352" i="42"/>
  <c r="T352" i="42"/>
  <c r="S352" i="42"/>
  <c r="Q352" i="42"/>
  <c r="O352" i="42"/>
  <c r="M352" i="42"/>
  <c r="K352" i="42"/>
  <c r="X351" i="42"/>
  <c r="W351" i="42"/>
  <c r="V351" i="42"/>
  <c r="U351" i="42"/>
  <c r="T351" i="42"/>
  <c r="S351" i="42"/>
  <c r="Q351" i="42"/>
  <c r="O351" i="42"/>
  <c r="M351" i="42"/>
  <c r="K351" i="42"/>
  <c r="X350" i="42"/>
  <c r="W350" i="42"/>
  <c r="V350" i="42"/>
  <c r="U350" i="42"/>
  <c r="T350" i="42"/>
  <c r="S350" i="42"/>
  <c r="Q350" i="42"/>
  <c r="O350" i="42"/>
  <c r="M350" i="42"/>
  <c r="K350" i="42"/>
  <c r="X349" i="42"/>
  <c r="W349" i="42"/>
  <c r="V349" i="42"/>
  <c r="U349" i="42"/>
  <c r="T349" i="42"/>
  <c r="S349" i="42"/>
  <c r="Q349" i="42"/>
  <c r="O349" i="42"/>
  <c r="M349" i="42"/>
  <c r="K349" i="42"/>
  <c r="X348" i="42"/>
  <c r="W348" i="42"/>
  <c r="V348" i="42"/>
  <c r="U348" i="42"/>
  <c r="T348" i="42"/>
  <c r="S348" i="42"/>
  <c r="Q348" i="42"/>
  <c r="O348" i="42"/>
  <c r="M348" i="42"/>
  <c r="K348" i="42"/>
  <c r="X347" i="42"/>
  <c r="W347" i="42"/>
  <c r="V347" i="42"/>
  <c r="U347" i="42"/>
  <c r="T347" i="42"/>
  <c r="S347" i="42"/>
  <c r="Q347" i="42"/>
  <c r="O347" i="42"/>
  <c r="M347" i="42"/>
  <c r="K347" i="42"/>
  <c r="X346" i="42"/>
  <c r="W346" i="42"/>
  <c r="V346" i="42"/>
  <c r="U346" i="42"/>
  <c r="T346" i="42"/>
  <c r="S346" i="42"/>
  <c r="Q346" i="42"/>
  <c r="O346" i="42"/>
  <c r="M346" i="42"/>
  <c r="K346" i="42"/>
  <c r="X345" i="42"/>
  <c r="W345" i="42"/>
  <c r="V345" i="42"/>
  <c r="U345" i="42"/>
  <c r="T345" i="42"/>
  <c r="S345" i="42"/>
  <c r="Q345" i="42"/>
  <c r="O345" i="42"/>
  <c r="M345" i="42"/>
  <c r="K345" i="42"/>
  <c r="X344" i="42"/>
  <c r="W344" i="42"/>
  <c r="V344" i="42"/>
  <c r="U344" i="42"/>
  <c r="T344" i="42"/>
  <c r="S344" i="42"/>
  <c r="Q344" i="42"/>
  <c r="O344" i="42"/>
  <c r="M344" i="42"/>
  <c r="K344" i="42"/>
  <c r="X343" i="42"/>
  <c r="W343" i="42"/>
  <c r="V343" i="42"/>
  <c r="U343" i="42"/>
  <c r="T343" i="42"/>
  <c r="S343" i="42"/>
  <c r="Q343" i="42"/>
  <c r="O343" i="42"/>
  <c r="M343" i="42"/>
  <c r="K343" i="42"/>
  <c r="X342" i="42"/>
  <c r="W342" i="42"/>
  <c r="V342" i="42"/>
  <c r="U342" i="42"/>
  <c r="T342" i="42"/>
  <c r="S342" i="42"/>
  <c r="Q342" i="42"/>
  <c r="O342" i="42"/>
  <c r="M342" i="42"/>
  <c r="K342" i="42"/>
  <c r="X341" i="42"/>
  <c r="W341" i="42"/>
  <c r="V341" i="42"/>
  <c r="U341" i="42"/>
  <c r="T341" i="42"/>
  <c r="S341" i="42"/>
  <c r="Q341" i="42"/>
  <c r="O341" i="42"/>
  <c r="M341" i="42"/>
  <c r="K341" i="42"/>
  <c r="X340" i="42"/>
  <c r="W340" i="42"/>
  <c r="V340" i="42"/>
  <c r="U340" i="42"/>
  <c r="T340" i="42"/>
  <c r="S340" i="42"/>
  <c r="Q340" i="42"/>
  <c r="O340" i="42"/>
  <c r="M340" i="42"/>
  <c r="K340" i="42"/>
  <c r="X339" i="42"/>
  <c r="W339" i="42"/>
  <c r="V339" i="42"/>
  <c r="U339" i="42"/>
  <c r="T339" i="42"/>
  <c r="S339" i="42"/>
  <c r="Q339" i="42"/>
  <c r="O339" i="42"/>
  <c r="M339" i="42"/>
  <c r="K339" i="42"/>
  <c r="X338" i="42"/>
  <c r="W338" i="42"/>
  <c r="V338" i="42"/>
  <c r="U338" i="42"/>
  <c r="T338" i="42"/>
  <c r="S338" i="42"/>
  <c r="Q338" i="42"/>
  <c r="O338" i="42"/>
  <c r="M338" i="42"/>
  <c r="K338" i="42"/>
  <c r="X337" i="42"/>
  <c r="W337" i="42"/>
  <c r="V337" i="42"/>
  <c r="U337" i="42"/>
  <c r="T337" i="42"/>
  <c r="S337" i="42"/>
  <c r="Q337" i="42"/>
  <c r="O337" i="42"/>
  <c r="M337" i="42"/>
  <c r="K337" i="42"/>
  <c r="X336" i="42"/>
  <c r="W336" i="42"/>
  <c r="V336" i="42"/>
  <c r="U336" i="42"/>
  <c r="T336" i="42"/>
  <c r="S336" i="42"/>
  <c r="Q336" i="42"/>
  <c r="O336" i="42"/>
  <c r="M336" i="42"/>
  <c r="K336" i="42"/>
  <c r="X335" i="42"/>
  <c r="W335" i="42"/>
  <c r="V335" i="42"/>
  <c r="U335" i="42"/>
  <c r="T335" i="42"/>
  <c r="S335" i="42"/>
  <c r="Q335" i="42"/>
  <c r="O335" i="42"/>
  <c r="M335" i="42"/>
  <c r="K335" i="42"/>
  <c r="X334" i="42"/>
  <c r="W334" i="42"/>
  <c r="V334" i="42"/>
  <c r="U334" i="42"/>
  <c r="T334" i="42"/>
  <c r="S334" i="42"/>
  <c r="Q334" i="42"/>
  <c r="O334" i="42"/>
  <c r="M334" i="42"/>
  <c r="K334" i="42"/>
  <c r="X333" i="42"/>
  <c r="W333" i="42"/>
  <c r="V333" i="42"/>
  <c r="U333" i="42"/>
  <c r="T333" i="42"/>
  <c r="S333" i="42"/>
  <c r="Q333" i="42"/>
  <c r="O333" i="42"/>
  <c r="M333" i="42"/>
  <c r="K333" i="42"/>
  <c r="X332" i="42"/>
  <c r="W332" i="42"/>
  <c r="V332" i="42"/>
  <c r="U332" i="42"/>
  <c r="T332" i="42"/>
  <c r="S332" i="42"/>
  <c r="Q332" i="42"/>
  <c r="O332" i="42"/>
  <c r="M332" i="42"/>
  <c r="K332" i="42"/>
  <c r="X331" i="42"/>
  <c r="W331" i="42"/>
  <c r="V331" i="42"/>
  <c r="U331" i="42"/>
  <c r="T331" i="42"/>
  <c r="S331" i="42"/>
  <c r="Q331" i="42"/>
  <c r="O331" i="42"/>
  <c r="M331" i="42"/>
  <c r="K331" i="42"/>
  <c r="X330" i="42"/>
  <c r="W330" i="42"/>
  <c r="V330" i="42"/>
  <c r="U330" i="42"/>
  <c r="T330" i="42"/>
  <c r="S330" i="42"/>
  <c r="Q330" i="42"/>
  <c r="O330" i="42"/>
  <c r="M330" i="42"/>
  <c r="K330" i="42"/>
  <c r="X329" i="42"/>
  <c r="W329" i="42"/>
  <c r="V329" i="42"/>
  <c r="U329" i="42"/>
  <c r="T329" i="42"/>
  <c r="S329" i="42"/>
  <c r="Q329" i="42"/>
  <c r="O329" i="42"/>
  <c r="M329" i="42"/>
  <c r="K329" i="42"/>
  <c r="X328" i="42"/>
  <c r="W328" i="42"/>
  <c r="V328" i="42"/>
  <c r="U328" i="42"/>
  <c r="T328" i="42"/>
  <c r="S328" i="42"/>
  <c r="Q328" i="42"/>
  <c r="O328" i="42"/>
  <c r="M328" i="42"/>
  <c r="K328" i="42"/>
  <c r="X327" i="42"/>
  <c r="W327" i="42"/>
  <c r="V327" i="42"/>
  <c r="U327" i="42"/>
  <c r="T327" i="42"/>
  <c r="S327" i="42"/>
  <c r="Q327" i="42"/>
  <c r="O327" i="42"/>
  <c r="M327" i="42"/>
  <c r="K327" i="42"/>
  <c r="X326" i="42"/>
  <c r="W326" i="42"/>
  <c r="V326" i="42"/>
  <c r="U326" i="42"/>
  <c r="T326" i="42"/>
  <c r="S326" i="42"/>
  <c r="Q326" i="42"/>
  <c r="O326" i="42"/>
  <c r="M326" i="42"/>
  <c r="K326" i="42"/>
  <c r="X325" i="42"/>
  <c r="W325" i="42"/>
  <c r="V325" i="42"/>
  <c r="U325" i="42"/>
  <c r="T325" i="42"/>
  <c r="S325" i="42"/>
  <c r="Q325" i="42"/>
  <c r="O325" i="42"/>
  <c r="M325" i="42"/>
  <c r="K325" i="42"/>
  <c r="X324" i="42"/>
  <c r="W324" i="42"/>
  <c r="V324" i="42"/>
  <c r="U324" i="42"/>
  <c r="T324" i="42"/>
  <c r="S324" i="42"/>
  <c r="Q324" i="42"/>
  <c r="O324" i="42"/>
  <c r="M324" i="42"/>
  <c r="K324" i="42"/>
  <c r="X323" i="42"/>
  <c r="W323" i="42"/>
  <c r="V323" i="42"/>
  <c r="U323" i="42"/>
  <c r="T323" i="42"/>
  <c r="S323" i="42"/>
  <c r="Q323" i="42"/>
  <c r="O323" i="42"/>
  <c r="M323" i="42"/>
  <c r="K323" i="42"/>
  <c r="X322" i="42"/>
  <c r="W322" i="42"/>
  <c r="V322" i="42"/>
  <c r="U322" i="42"/>
  <c r="T322" i="42"/>
  <c r="S322" i="42"/>
  <c r="Q322" i="42"/>
  <c r="O322" i="42"/>
  <c r="M322" i="42"/>
  <c r="K322" i="42"/>
  <c r="X321" i="42"/>
  <c r="W321" i="42"/>
  <c r="V321" i="42"/>
  <c r="U321" i="42"/>
  <c r="T321" i="42"/>
  <c r="S321" i="42"/>
  <c r="Q321" i="42"/>
  <c r="O321" i="42"/>
  <c r="M321" i="42"/>
  <c r="K321" i="42"/>
  <c r="X320" i="42"/>
  <c r="W320" i="42"/>
  <c r="V320" i="42"/>
  <c r="U320" i="42"/>
  <c r="T320" i="42"/>
  <c r="S320" i="42"/>
  <c r="Q320" i="42"/>
  <c r="O320" i="42"/>
  <c r="M320" i="42"/>
  <c r="K320" i="42"/>
  <c r="X319" i="42"/>
  <c r="W319" i="42"/>
  <c r="V319" i="42"/>
  <c r="U319" i="42"/>
  <c r="T319" i="42"/>
  <c r="S319" i="42"/>
  <c r="Q319" i="42"/>
  <c r="O319" i="42"/>
  <c r="M319" i="42"/>
  <c r="K319" i="42"/>
  <c r="X318" i="42"/>
  <c r="W318" i="42"/>
  <c r="V318" i="42"/>
  <c r="U318" i="42"/>
  <c r="T318" i="42"/>
  <c r="S318" i="42"/>
  <c r="Q318" i="42"/>
  <c r="O318" i="42"/>
  <c r="M318" i="42"/>
  <c r="K318" i="42"/>
  <c r="X317" i="42"/>
  <c r="W317" i="42"/>
  <c r="V317" i="42"/>
  <c r="U317" i="42"/>
  <c r="T317" i="42"/>
  <c r="S317" i="42"/>
  <c r="Q317" i="42"/>
  <c r="O317" i="42"/>
  <c r="M317" i="42"/>
  <c r="K317" i="42"/>
  <c r="X316" i="42"/>
  <c r="W316" i="42"/>
  <c r="V316" i="42"/>
  <c r="U316" i="42"/>
  <c r="T316" i="42"/>
  <c r="S316" i="42"/>
  <c r="Q316" i="42"/>
  <c r="O316" i="42"/>
  <c r="M316" i="42"/>
  <c r="K316" i="42"/>
  <c r="X315" i="42"/>
  <c r="W315" i="42"/>
  <c r="V315" i="42"/>
  <c r="U315" i="42"/>
  <c r="T315" i="42"/>
  <c r="S315" i="42"/>
  <c r="Q315" i="42"/>
  <c r="O315" i="42"/>
  <c r="M315" i="42"/>
  <c r="K315" i="42"/>
  <c r="X314" i="42"/>
  <c r="W314" i="42"/>
  <c r="V314" i="42"/>
  <c r="U314" i="42"/>
  <c r="T314" i="42"/>
  <c r="S314" i="42"/>
  <c r="Q314" i="42"/>
  <c r="O314" i="42"/>
  <c r="M314" i="42"/>
  <c r="K314" i="42"/>
  <c r="X313" i="42"/>
  <c r="W313" i="42"/>
  <c r="V313" i="42"/>
  <c r="U313" i="42"/>
  <c r="T313" i="42"/>
  <c r="S313" i="42"/>
  <c r="Q313" i="42"/>
  <c r="O313" i="42"/>
  <c r="M313" i="42"/>
  <c r="K313" i="42"/>
  <c r="X312" i="42"/>
  <c r="W312" i="42"/>
  <c r="V312" i="42"/>
  <c r="U312" i="42"/>
  <c r="T312" i="42"/>
  <c r="S312" i="42"/>
  <c r="Q312" i="42"/>
  <c r="O312" i="42"/>
  <c r="M312" i="42"/>
  <c r="K312" i="42"/>
  <c r="X311" i="42"/>
  <c r="W311" i="42"/>
  <c r="V311" i="42"/>
  <c r="U311" i="42"/>
  <c r="T311" i="42"/>
  <c r="S311" i="42"/>
  <c r="Q311" i="42"/>
  <c r="O311" i="42"/>
  <c r="M311" i="42"/>
  <c r="K311" i="42"/>
  <c r="X310" i="42"/>
  <c r="W310" i="42"/>
  <c r="V310" i="42"/>
  <c r="U310" i="42"/>
  <c r="T310" i="42"/>
  <c r="S310" i="42"/>
  <c r="Q310" i="42"/>
  <c r="O310" i="42"/>
  <c r="M310" i="42"/>
  <c r="K310" i="42"/>
  <c r="X309" i="42"/>
  <c r="W309" i="42"/>
  <c r="V309" i="42"/>
  <c r="U309" i="42"/>
  <c r="T309" i="42"/>
  <c r="S309" i="42"/>
  <c r="Q309" i="42"/>
  <c r="O309" i="42"/>
  <c r="M309" i="42"/>
  <c r="K309" i="42"/>
  <c r="X308" i="42"/>
  <c r="W308" i="42"/>
  <c r="V308" i="42"/>
  <c r="U308" i="42"/>
  <c r="T308" i="42"/>
  <c r="S308" i="42"/>
  <c r="Q308" i="42"/>
  <c r="O308" i="42"/>
  <c r="M308" i="42"/>
  <c r="K308" i="42"/>
  <c r="X307" i="42"/>
  <c r="W307" i="42"/>
  <c r="V307" i="42"/>
  <c r="U307" i="42"/>
  <c r="T307" i="42"/>
  <c r="S307" i="42"/>
  <c r="Q307" i="42"/>
  <c r="O307" i="42"/>
  <c r="M307" i="42"/>
  <c r="K307" i="42"/>
  <c r="X306" i="42"/>
  <c r="W306" i="42"/>
  <c r="V306" i="42"/>
  <c r="U306" i="42"/>
  <c r="T306" i="42"/>
  <c r="S306" i="42"/>
  <c r="Q306" i="42"/>
  <c r="O306" i="42"/>
  <c r="M306" i="42"/>
  <c r="K306" i="42"/>
  <c r="X305" i="42"/>
  <c r="W305" i="42"/>
  <c r="V305" i="42"/>
  <c r="U305" i="42"/>
  <c r="T305" i="42"/>
  <c r="S305" i="42"/>
  <c r="Q305" i="42"/>
  <c r="O305" i="42"/>
  <c r="M305" i="42"/>
  <c r="K305" i="42"/>
  <c r="X304" i="42"/>
  <c r="W304" i="42"/>
  <c r="V304" i="42"/>
  <c r="U304" i="42"/>
  <c r="T304" i="42"/>
  <c r="S304" i="42"/>
  <c r="Q304" i="42"/>
  <c r="O304" i="42"/>
  <c r="M304" i="42"/>
  <c r="K304" i="42"/>
  <c r="X303" i="42"/>
  <c r="W303" i="42"/>
  <c r="V303" i="42"/>
  <c r="U303" i="42"/>
  <c r="T303" i="42"/>
  <c r="S303" i="42"/>
  <c r="Q303" i="42"/>
  <c r="O303" i="42"/>
  <c r="M303" i="42"/>
  <c r="K303" i="42"/>
  <c r="X302" i="42"/>
  <c r="W302" i="42"/>
  <c r="V302" i="42"/>
  <c r="U302" i="42"/>
  <c r="T302" i="42"/>
  <c r="S302" i="42"/>
  <c r="Q302" i="42"/>
  <c r="O302" i="42"/>
  <c r="M302" i="42"/>
  <c r="K302" i="42"/>
  <c r="X301" i="42"/>
  <c r="W301" i="42"/>
  <c r="V301" i="42"/>
  <c r="U301" i="42"/>
  <c r="T301" i="42"/>
  <c r="S301" i="42"/>
  <c r="Q301" i="42"/>
  <c r="O301" i="42"/>
  <c r="M301" i="42"/>
  <c r="K301" i="42"/>
  <c r="X300" i="42"/>
  <c r="W300" i="42"/>
  <c r="V300" i="42"/>
  <c r="U300" i="42"/>
  <c r="T300" i="42"/>
  <c r="S300" i="42"/>
  <c r="Q300" i="42"/>
  <c r="O300" i="42"/>
  <c r="M300" i="42"/>
  <c r="K300" i="42"/>
  <c r="X299" i="42"/>
  <c r="W299" i="42"/>
  <c r="V299" i="42"/>
  <c r="U299" i="42"/>
  <c r="T299" i="42"/>
  <c r="S299" i="42"/>
  <c r="Q299" i="42"/>
  <c r="O299" i="42"/>
  <c r="M299" i="42"/>
  <c r="K299" i="42"/>
  <c r="X298" i="42"/>
  <c r="W298" i="42"/>
  <c r="V298" i="42"/>
  <c r="U298" i="42"/>
  <c r="T298" i="42"/>
  <c r="S298" i="42"/>
  <c r="Q298" i="42"/>
  <c r="O298" i="42"/>
  <c r="M298" i="42"/>
  <c r="K298" i="42"/>
  <c r="X297" i="42"/>
  <c r="W297" i="42"/>
  <c r="V297" i="42"/>
  <c r="U297" i="42"/>
  <c r="T297" i="42"/>
  <c r="S297" i="42"/>
  <c r="Q297" i="42"/>
  <c r="O297" i="42"/>
  <c r="M297" i="42"/>
  <c r="K297" i="42"/>
  <c r="X296" i="42"/>
  <c r="W296" i="42"/>
  <c r="V296" i="42"/>
  <c r="U296" i="42"/>
  <c r="T296" i="42"/>
  <c r="S296" i="42"/>
  <c r="Q296" i="42"/>
  <c r="O296" i="42"/>
  <c r="M296" i="42"/>
  <c r="K296" i="42"/>
  <c r="X295" i="42"/>
  <c r="W295" i="42"/>
  <c r="V295" i="42"/>
  <c r="U295" i="42"/>
  <c r="T295" i="42"/>
  <c r="S295" i="42"/>
  <c r="Q295" i="42"/>
  <c r="O295" i="42"/>
  <c r="M295" i="42"/>
  <c r="K295" i="42"/>
  <c r="X294" i="42"/>
  <c r="W294" i="42"/>
  <c r="V294" i="42"/>
  <c r="U294" i="42"/>
  <c r="T294" i="42"/>
  <c r="S294" i="42"/>
  <c r="Q294" i="42"/>
  <c r="O294" i="42"/>
  <c r="M294" i="42"/>
  <c r="K294" i="42"/>
  <c r="X293" i="42"/>
  <c r="W293" i="42"/>
  <c r="V293" i="42"/>
  <c r="U293" i="42"/>
  <c r="T293" i="42"/>
  <c r="S293" i="42"/>
  <c r="Q293" i="42"/>
  <c r="O293" i="42"/>
  <c r="M293" i="42"/>
  <c r="K293" i="42"/>
  <c r="X292" i="42"/>
  <c r="W292" i="42"/>
  <c r="V292" i="42"/>
  <c r="U292" i="42"/>
  <c r="T292" i="42"/>
  <c r="S292" i="42"/>
  <c r="Q292" i="42"/>
  <c r="O292" i="42"/>
  <c r="M292" i="42"/>
  <c r="K292" i="42"/>
  <c r="X291" i="42"/>
  <c r="W291" i="42"/>
  <c r="V291" i="42"/>
  <c r="U291" i="42"/>
  <c r="T291" i="42"/>
  <c r="S291" i="42"/>
  <c r="Q291" i="42"/>
  <c r="O291" i="42"/>
  <c r="M291" i="42"/>
  <c r="K291" i="42"/>
  <c r="X290" i="42"/>
  <c r="W290" i="42"/>
  <c r="V290" i="42"/>
  <c r="U290" i="42"/>
  <c r="T290" i="42"/>
  <c r="S290" i="42"/>
  <c r="Q290" i="42"/>
  <c r="O290" i="42"/>
  <c r="M290" i="42"/>
  <c r="K290" i="42"/>
  <c r="X289" i="42"/>
  <c r="W289" i="42"/>
  <c r="V289" i="42"/>
  <c r="U289" i="42"/>
  <c r="T289" i="42"/>
  <c r="S289" i="42"/>
  <c r="Q289" i="42"/>
  <c r="O289" i="42"/>
  <c r="M289" i="42"/>
  <c r="K289" i="42"/>
  <c r="X288" i="42"/>
  <c r="W288" i="42"/>
  <c r="V288" i="42"/>
  <c r="U288" i="42"/>
  <c r="T288" i="42"/>
  <c r="S288" i="42"/>
  <c r="Q288" i="42"/>
  <c r="O288" i="42"/>
  <c r="M288" i="42"/>
  <c r="K288" i="42"/>
  <c r="X287" i="42"/>
  <c r="W287" i="42"/>
  <c r="V287" i="42"/>
  <c r="U287" i="42"/>
  <c r="T287" i="42"/>
  <c r="S287" i="42"/>
  <c r="Q287" i="42"/>
  <c r="O287" i="42"/>
  <c r="M287" i="42"/>
  <c r="K287" i="42"/>
  <c r="X286" i="42"/>
  <c r="W286" i="42"/>
  <c r="V286" i="42"/>
  <c r="U286" i="42"/>
  <c r="T286" i="42"/>
  <c r="S286" i="42"/>
  <c r="Q286" i="42"/>
  <c r="O286" i="42"/>
  <c r="M286" i="42"/>
  <c r="K286" i="42"/>
  <c r="X285" i="42"/>
  <c r="W285" i="42"/>
  <c r="V285" i="42"/>
  <c r="U285" i="42"/>
  <c r="T285" i="42"/>
  <c r="S285" i="42"/>
  <c r="Q285" i="42"/>
  <c r="O285" i="42"/>
  <c r="M285" i="42"/>
  <c r="K285" i="42"/>
  <c r="X284" i="42"/>
  <c r="W284" i="42"/>
  <c r="V284" i="42"/>
  <c r="U284" i="42"/>
  <c r="T284" i="42"/>
  <c r="S284" i="42"/>
  <c r="Q284" i="42"/>
  <c r="O284" i="42"/>
  <c r="M284" i="42"/>
  <c r="K284" i="42"/>
  <c r="X283" i="42"/>
  <c r="W283" i="42"/>
  <c r="V283" i="42"/>
  <c r="U283" i="42"/>
  <c r="T283" i="42"/>
  <c r="S283" i="42"/>
  <c r="Q283" i="42"/>
  <c r="O283" i="42"/>
  <c r="M283" i="42"/>
  <c r="K283" i="42"/>
  <c r="X282" i="42"/>
  <c r="W282" i="42"/>
  <c r="V282" i="42"/>
  <c r="U282" i="42"/>
  <c r="T282" i="42"/>
  <c r="S282" i="42"/>
  <c r="Q282" i="42"/>
  <c r="O282" i="42"/>
  <c r="M282" i="42"/>
  <c r="K282" i="42"/>
  <c r="X281" i="42"/>
  <c r="W281" i="42"/>
  <c r="V281" i="42"/>
  <c r="U281" i="42"/>
  <c r="T281" i="42"/>
  <c r="S281" i="42"/>
  <c r="Q281" i="42"/>
  <c r="O281" i="42"/>
  <c r="M281" i="42"/>
  <c r="K281" i="42"/>
  <c r="X280" i="42"/>
  <c r="W280" i="42"/>
  <c r="V280" i="42"/>
  <c r="U280" i="42"/>
  <c r="T280" i="42"/>
  <c r="S280" i="42"/>
  <c r="Q280" i="42"/>
  <c r="O280" i="42"/>
  <c r="M280" i="42"/>
  <c r="K280" i="42"/>
  <c r="X279" i="42"/>
  <c r="W279" i="42"/>
  <c r="V279" i="42"/>
  <c r="U279" i="42"/>
  <c r="T279" i="42"/>
  <c r="S279" i="42"/>
  <c r="Q279" i="42"/>
  <c r="O279" i="42"/>
  <c r="M279" i="42"/>
  <c r="K279" i="42"/>
  <c r="X278" i="42"/>
  <c r="W278" i="42"/>
  <c r="V278" i="42"/>
  <c r="U278" i="42"/>
  <c r="T278" i="42"/>
  <c r="S278" i="42"/>
  <c r="Q278" i="42"/>
  <c r="O278" i="42"/>
  <c r="M278" i="42"/>
  <c r="K278" i="42"/>
  <c r="X277" i="42"/>
  <c r="W277" i="42"/>
  <c r="V277" i="42"/>
  <c r="U277" i="42"/>
  <c r="T277" i="42"/>
  <c r="S277" i="42"/>
  <c r="Q277" i="42"/>
  <c r="O277" i="42"/>
  <c r="M277" i="42"/>
  <c r="K277" i="42"/>
  <c r="X276" i="42"/>
  <c r="W276" i="42"/>
  <c r="V276" i="42"/>
  <c r="U276" i="42"/>
  <c r="T276" i="42"/>
  <c r="S276" i="42"/>
  <c r="Q276" i="42"/>
  <c r="O276" i="42"/>
  <c r="M276" i="42"/>
  <c r="K276" i="42"/>
  <c r="X275" i="42"/>
  <c r="W275" i="42"/>
  <c r="V275" i="42"/>
  <c r="U275" i="42"/>
  <c r="T275" i="42"/>
  <c r="S275" i="42"/>
  <c r="Q275" i="42"/>
  <c r="O275" i="42"/>
  <c r="M275" i="42"/>
  <c r="K275" i="42"/>
  <c r="X274" i="42"/>
  <c r="W274" i="42"/>
  <c r="V274" i="42"/>
  <c r="U274" i="42"/>
  <c r="T274" i="42"/>
  <c r="S274" i="42"/>
  <c r="Q274" i="42"/>
  <c r="O274" i="42"/>
  <c r="M274" i="42"/>
  <c r="K274" i="42"/>
  <c r="X273" i="42"/>
  <c r="W273" i="42"/>
  <c r="V273" i="42"/>
  <c r="U273" i="42"/>
  <c r="T273" i="42"/>
  <c r="S273" i="42"/>
  <c r="Q273" i="42"/>
  <c r="O273" i="42"/>
  <c r="M273" i="42"/>
  <c r="K273" i="42"/>
  <c r="X272" i="42"/>
  <c r="W272" i="42"/>
  <c r="V272" i="42"/>
  <c r="U272" i="42"/>
  <c r="T272" i="42"/>
  <c r="S272" i="42"/>
  <c r="Q272" i="42"/>
  <c r="O272" i="42"/>
  <c r="M272" i="42"/>
  <c r="K272" i="42"/>
  <c r="X271" i="42"/>
  <c r="W271" i="42"/>
  <c r="V271" i="42"/>
  <c r="U271" i="42"/>
  <c r="T271" i="42"/>
  <c r="S271" i="42"/>
  <c r="Q271" i="42"/>
  <c r="O271" i="42"/>
  <c r="M271" i="42"/>
  <c r="K271" i="42"/>
  <c r="X270" i="42"/>
  <c r="W270" i="42"/>
  <c r="V270" i="42"/>
  <c r="U270" i="42"/>
  <c r="T270" i="42"/>
  <c r="S270" i="42"/>
  <c r="Q270" i="42"/>
  <c r="O270" i="42"/>
  <c r="M270" i="42"/>
  <c r="K270" i="42"/>
  <c r="X269" i="42"/>
  <c r="W269" i="42"/>
  <c r="V269" i="42"/>
  <c r="U269" i="42"/>
  <c r="T269" i="42"/>
  <c r="S269" i="42"/>
  <c r="Q269" i="42"/>
  <c r="O269" i="42"/>
  <c r="M269" i="42"/>
  <c r="K269" i="42"/>
  <c r="X268" i="42"/>
  <c r="W268" i="42"/>
  <c r="V268" i="42"/>
  <c r="U268" i="42"/>
  <c r="T268" i="42"/>
  <c r="S268" i="42"/>
  <c r="Q268" i="42"/>
  <c r="O268" i="42"/>
  <c r="M268" i="42"/>
  <c r="K268" i="42"/>
  <c r="X267" i="42"/>
  <c r="W267" i="42"/>
  <c r="V267" i="42"/>
  <c r="U267" i="42"/>
  <c r="T267" i="42"/>
  <c r="S267" i="42"/>
  <c r="Q267" i="42"/>
  <c r="O267" i="42"/>
  <c r="M267" i="42"/>
  <c r="K267" i="42"/>
  <c r="X266" i="42"/>
  <c r="W266" i="42"/>
  <c r="V266" i="42"/>
  <c r="U266" i="42"/>
  <c r="T266" i="42"/>
  <c r="S266" i="42"/>
  <c r="Q266" i="42"/>
  <c r="O266" i="42"/>
  <c r="M266" i="42"/>
  <c r="K266" i="42"/>
  <c r="X265" i="42"/>
  <c r="W265" i="42"/>
  <c r="V265" i="42"/>
  <c r="U265" i="42"/>
  <c r="T265" i="42"/>
  <c r="S265" i="42"/>
  <c r="Q265" i="42"/>
  <c r="O265" i="42"/>
  <c r="M265" i="42"/>
  <c r="K265" i="42"/>
  <c r="X264" i="42"/>
  <c r="W264" i="42"/>
  <c r="V264" i="42"/>
  <c r="U264" i="42"/>
  <c r="T264" i="42"/>
  <c r="S264" i="42"/>
  <c r="Q264" i="42"/>
  <c r="O264" i="42"/>
  <c r="M264" i="42"/>
  <c r="K264" i="42"/>
  <c r="X263" i="42"/>
  <c r="W263" i="42"/>
  <c r="V263" i="42"/>
  <c r="U263" i="42"/>
  <c r="T263" i="42"/>
  <c r="S263" i="42"/>
  <c r="Q263" i="42"/>
  <c r="O263" i="42"/>
  <c r="M263" i="42"/>
  <c r="K263" i="42"/>
  <c r="X262" i="42"/>
  <c r="W262" i="42"/>
  <c r="V262" i="42"/>
  <c r="U262" i="42"/>
  <c r="T262" i="42"/>
  <c r="S262" i="42"/>
  <c r="Q262" i="42"/>
  <c r="O262" i="42"/>
  <c r="M262" i="42"/>
  <c r="K262" i="42"/>
  <c r="X261" i="42"/>
  <c r="W261" i="42"/>
  <c r="V261" i="42"/>
  <c r="U261" i="42"/>
  <c r="T261" i="42"/>
  <c r="S261" i="42"/>
  <c r="Q261" i="42"/>
  <c r="O261" i="42"/>
  <c r="M261" i="42"/>
  <c r="K261" i="42"/>
  <c r="X260" i="42"/>
  <c r="W260" i="42"/>
  <c r="V260" i="42"/>
  <c r="U260" i="42"/>
  <c r="T260" i="42"/>
  <c r="S260" i="42"/>
  <c r="Q260" i="42"/>
  <c r="O260" i="42"/>
  <c r="M260" i="42"/>
  <c r="K260" i="42"/>
  <c r="X259" i="42"/>
  <c r="W259" i="42"/>
  <c r="V259" i="42"/>
  <c r="U259" i="42"/>
  <c r="T259" i="42"/>
  <c r="S259" i="42"/>
  <c r="Q259" i="42"/>
  <c r="O259" i="42"/>
  <c r="M259" i="42"/>
  <c r="K259" i="42"/>
  <c r="X258" i="42"/>
  <c r="W258" i="42"/>
  <c r="V258" i="42"/>
  <c r="U258" i="42"/>
  <c r="T258" i="42"/>
  <c r="S258" i="42"/>
  <c r="Q258" i="42"/>
  <c r="O258" i="42"/>
  <c r="M258" i="42"/>
  <c r="K258" i="42"/>
  <c r="X257" i="42"/>
  <c r="W257" i="42"/>
  <c r="V257" i="42"/>
  <c r="U257" i="42"/>
  <c r="T257" i="42"/>
  <c r="S257" i="42"/>
  <c r="Q257" i="42"/>
  <c r="O257" i="42"/>
  <c r="M257" i="42"/>
  <c r="K257" i="42"/>
  <c r="X256" i="42"/>
  <c r="W256" i="42"/>
  <c r="V256" i="42"/>
  <c r="U256" i="42"/>
  <c r="T256" i="42"/>
  <c r="S256" i="42"/>
  <c r="Q256" i="42"/>
  <c r="O256" i="42"/>
  <c r="M256" i="42"/>
  <c r="K256" i="42"/>
  <c r="X255" i="42"/>
  <c r="W255" i="42"/>
  <c r="V255" i="42"/>
  <c r="U255" i="42"/>
  <c r="T255" i="42"/>
  <c r="S255" i="42"/>
  <c r="Q255" i="42"/>
  <c r="O255" i="42"/>
  <c r="M255" i="42"/>
  <c r="K255" i="42"/>
  <c r="X254" i="42"/>
  <c r="W254" i="42"/>
  <c r="V254" i="42"/>
  <c r="U254" i="42"/>
  <c r="T254" i="42"/>
  <c r="S254" i="42"/>
  <c r="Q254" i="42"/>
  <c r="O254" i="42"/>
  <c r="M254" i="42"/>
  <c r="K254" i="42"/>
  <c r="X253" i="42"/>
  <c r="W253" i="42"/>
  <c r="V253" i="42"/>
  <c r="U253" i="42"/>
  <c r="T253" i="42"/>
  <c r="S253" i="42"/>
  <c r="Q253" i="42"/>
  <c r="O253" i="42"/>
  <c r="M253" i="42"/>
  <c r="K253" i="42"/>
  <c r="X252" i="42"/>
  <c r="W252" i="42"/>
  <c r="V252" i="42"/>
  <c r="U252" i="42"/>
  <c r="T252" i="42"/>
  <c r="S252" i="42"/>
  <c r="Q252" i="42"/>
  <c r="O252" i="42"/>
  <c r="M252" i="42"/>
  <c r="K252" i="42"/>
  <c r="X251" i="42"/>
  <c r="W251" i="42"/>
  <c r="V251" i="42"/>
  <c r="U251" i="42"/>
  <c r="T251" i="42"/>
  <c r="S251" i="42"/>
  <c r="Q251" i="42"/>
  <c r="O251" i="42"/>
  <c r="M251" i="42"/>
  <c r="K251" i="42"/>
  <c r="X250" i="42"/>
  <c r="W250" i="42"/>
  <c r="V250" i="42"/>
  <c r="U250" i="42"/>
  <c r="T250" i="42"/>
  <c r="S250" i="42"/>
  <c r="Q250" i="42"/>
  <c r="O250" i="42"/>
  <c r="M250" i="42"/>
  <c r="K250" i="42"/>
  <c r="X249" i="42"/>
  <c r="W249" i="42"/>
  <c r="V249" i="42"/>
  <c r="U249" i="42"/>
  <c r="T249" i="42"/>
  <c r="S249" i="42"/>
  <c r="Q249" i="42"/>
  <c r="O249" i="42"/>
  <c r="M249" i="42"/>
  <c r="K249" i="42"/>
  <c r="X248" i="42"/>
  <c r="W248" i="42"/>
  <c r="V248" i="42"/>
  <c r="U248" i="42"/>
  <c r="T248" i="42"/>
  <c r="S248" i="42"/>
  <c r="Q248" i="42"/>
  <c r="O248" i="42"/>
  <c r="M248" i="42"/>
  <c r="K248" i="42"/>
  <c r="X247" i="42"/>
  <c r="W247" i="42"/>
  <c r="V247" i="42"/>
  <c r="U247" i="42"/>
  <c r="T247" i="42"/>
  <c r="S247" i="42"/>
  <c r="Q247" i="42"/>
  <c r="O247" i="42"/>
  <c r="M247" i="42"/>
  <c r="K247" i="42"/>
  <c r="X246" i="42"/>
  <c r="W246" i="42"/>
  <c r="V246" i="42"/>
  <c r="U246" i="42"/>
  <c r="T246" i="42"/>
  <c r="S246" i="42"/>
  <c r="Q246" i="42"/>
  <c r="O246" i="42"/>
  <c r="M246" i="42"/>
  <c r="K246" i="42"/>
  <c r="X245" i="42"/>
  <c r="W245" i="42"/>
  <c r="V245" i="42"/>
  <c r="U245" i="42"/>
  <c r="T245" i="42"/>
  <c r="S245" i="42"/>
  <c r="Q245" i="42"/>
  <c r="O245" i="42"/>
  <c r="M245" i="42"/>
  <c r="K245" i="42"/>
  <c r="X244" i="42"/>
  <c r="W244" i="42"/>
  <c r="V244" i="42"/>
  <c r="U244" i="42"/>
  <c r="T244" i="42"/>
  <c r="S244" i="42"/>
  <c r="Q244" i="42"/>
  <c r="O244" i="42"/>
  <c r="M244" i="42"/>
  <c r="K244" i="42"/>
  <c r="X243" i="42"/>
  <c r="W243" i="42"/>
  <c r="V243" i="42"/>
  <c r="U243" i="42"/>
  <c r="T243" i="42"/>
  <c r="S243" i="42"/>
  <c r="Q243" i="42"/>
  <c r="O243" i="42"/>
  <c r="M243" i="42"/>
  <c r="K243" i="42"/>
  <c r="X242" i="42"/>
  <c r="W242" i="42"/>
  <c r="V242" i="42"/>
  <c r="U242" i="42"/>
  <c r="T242" i="42"/>
  <c r="S242" i="42"/>
  <c r="Q242" i="42"/>
  <c r="O242" i="42"/>
  <c r="M242" i="42"/>
  <c r="K242" i="42"/>
  <c r="X241" i="42"/>
  <c r="W241" i="42"/>
  <c r="V241" i="42"/>
  <c r="U241" i="42"/>
  <c r="T241" i="42"/>
  <c r="S241" i="42"/>
  <c r="Q241" i="42"/>
  <c r="O241" i="42"/>
  <c r="M241" i="42"/>
  <c r="K241" i="42"/>
  <c r="X240" i="42"/>
  <c r="W240" i="42"/>
  <c r="V240" i="42"/>
  <c r="U240" i="42"/>
  <c r="T240" i="42"/>
  <c r="S240" i="42"/>
  <c r="Q240" i="42"/>
  <c r="O240" i="42"/>
  <c r="M240" i="42"/>
  <c r="K240" i="42"/>
  <c r="X239" i="42"/>
  <c r="W239" i="42"/>
  <c r="V239" i="42"/>
  <c r="U239" i="42"/>
  <c r="T239" i="42"/>
  <c r="S239" i="42"/>
  <c r="Q239" i="42"/>
  <c r="O239" i="42"/>
  <c r="M239" i="42"/>
  <c r="K239" i="42"/>
  <c r="X238" i="42"/>
  <c r="W238" i="42"/>
  <c r="V238" i="42"/>
  <c r="U238" i="42"/>
  <c r="T238" i="42"/>
  <c r="S238" i="42"/>
  <c r="Q238" i="42"/>
  <c r="O238" i="42"/>
  <c r="M238" i="42"/>
  <c r="K238" i="42"/>
  <c r="X237" i="42"/>
  <c r="W237" i="42"/>
  <c r="V237" i="42"/>
  <c r="U237" i="42"/>
  <c r="T237" i="42"/>
  <c r="S237" i="42"/>
  <c r="Q237" i="42"/>
  <c r="O237" i="42"/>
  <c r="M237" i="42"/>
  <c r="K237" i="42"/>
  <c r="X236" i="42"/>
  <c r="W236" i="42"/>
  <c r="V236" i="42"/>
  <c r="U236" i="42"/>
  <c r="T236" i="42"/>
  <c r="S236" i="42"/>
  <c r="Q236" i="42"/>
  <c r="O236" i="42"/>
  <c r="M236" i="42"/>
  <c r="K236" i="42"/>
  <c r="X235" i="42"/>
  <c r="W235" i="42"/>
  <c r="V235" i="42"/>
  <c r="U235" i="42"/>
  <c r="T235" i="42"/>
  <c r="S235" i="42"/>
  <c r="Q235" i="42"/>
  <c r="O235" i="42"/>
  <c r="M235" i="42"/>
  <c r="K235" i="42"/>
  <c r="X234" i="42"/>
  <c r="W234" i="42"/>
  <c r="V234" i="42"/>
  <c r="U234" i="42"/>
  <c r="T234" i="42"/>
  <c r="S234" i="42"/>
  <c r="Q234" i="42"/>
  <c r="O234" i="42"/>
  <c r="M234" i="42"/>
  <c r="K234" i="42"/>
  <c r="X233" i="42"/>
  <c r="W233" i="42"/>
  <c r="V233" i="42"/>
  <c r="U233" i="42"/>
  <c r="T233" i="42"/>
  <c r="S233" i="42"/>
  <c r="Q233" i="42"/>
  <c r="O233" i="42"/>
  <c r="M233" i="42"/>
  <c r="K233" i="42"/>
  <c r="X232" i="42"/>
  <c r="W232" i="42"/>
  <c r="V232" i="42"/>
  <c r="U232" i="42"/>
  <c r="T232" i="42"/>
  <c r="S232" i="42"/>
  <c r="Q232" i="42"/>
  <c r="O232" i="42"/>
  <c r="M232" i="42"/>
  <c r="K232" i="42"/>
  <c r="X231" i="42"/>
  <c r="W231" i="42"/>
  <c r="V231" i="42"/>
  <c r="U231" i="42"/>
  <c r="T231" i="42"/>
  <c r="S231" i="42"/>
  <c r="Q231" i="42"/>
  <c r="O231" i="42"/>
  <c r="M231" i="42"/>
  <c r="K231" i="42"/>
  <c r="X230" i="42"/>
  <c r="W230" i="42"/>
  <c r="V230" i="42"/>
  <c r="U230" i="42"/>
  <c r="T230" i="42"/>
  <c r="S230" i="42"/>
  <c r="Q230" i="42"/>
  <c r="O230" i="42"/>
  <c r="M230" i="42"/>
  <c r="K230" i="42"/>
  <c r="X229" i="42"/>
  <c r="W229" i="42"/>
  <c r="V229" i="42"/>
  <c r="U229" i="42"/>
  <c r="T229" i="42"/>
  <c r="S229" i="42"/>
  <c r="Q229" i="42"/>
  <c r="O229" i="42"/>
  <c r="M229" i="42"/>
  <c r="K229" i="42"/>
  <c r="X228" i="42"/>
  <c r="W228" i="42"/>
  <c r="V228" i="42"/>
  <c r="U228" i="42"/>
  <c r="T228" i="42"/>
  <c r="S228" i="42"/>
  <c r="Q228" i="42"/>
  <c r="O228" i="42"/>
  <c r="M228" i="42"/>
  <c r="K228" i="42"/>
  <c r="X227" i="42"/>
  <c r="W227" i="42"/>
  <c r="V227" i="42"/>
  <c r="U227" i="42"/>
  <c r="T227" i="42"/>
  <c r="S227" i="42"/>
  <c r="Q227" i="42"/>
  <c r="O227" i="42"/>
  <c r="M227" i="42"/>
  <c r="K227" i="42"/>
  <c r="X226" i="42"/>
  <c r="W226" i="42"/>
  <c r="V226" i="42"/>
  <c r="U226" i="42"/>
  <c r="T226" i="42"/>
  <c r="S226" i="42"/>
  <c r="Q226" i="42"/>
  <c r="O226" i="42"/>
  <c r="M226" i="42"/>
  <c r="K226" i="42"/>
  <c r="X225" i="42"/>
  <c r="W225" i="42"/>
  <c r="V225" i="42"/>
  <c r="U225" i="42"/>
  <c r="T225" i="42"/>
  <c r="S225" i="42"/>
  <c r="Q225" i="42"/>
  <c r="O225" i="42"/>
  <c r="M225" i="42"/>
  <c r="K225" i="42"/>
  <c r="X224" i="42"/>
  <c r="W224" i="42"/>
  <c r="V224" i="42"/>
  <c r="U224" i="42"/>
  <c r="T224" i="42"/>
  <c r="S224" i="42"/>
  <c r="Q224" i="42"/>
  <c r="O224" i="42"/>
  <c r="M224" i="42"/>
  <c r="K224" i="42"/>
  <c r="X223" i="42"/>
  <c r="W223" i="42"/>
  <c r="V223" i="42"/>
  <c r="U223" i="42"/>
  <c r="T223" i="42"/>
  <c r="S223" i="42"/>
  <c r="Q223" i="42"/>
  <c r="O223" i="42"/>
  <c r="M223" i="42"/>
  <c r="K223" i="42"/>
  <c r="X222" i="42"/>
  <c r="W222" i="42"/>
  <c r="V222" i="42"/>
  <c r="U222" i="42"/>
  <c r="T222" i="42"/>
  <c r="S222" i="42"/>
  <c r="Q222" i="42"/>
  <c r="O222" i="42"/>
  <c r="M222" i="42"/>
  <c r="K222" i="42"/>
  <c r="X221" i="42"/>
  <c r="W221" i="42"/>
  <c r="V221" i="42"/>
  <c r="U221" i="42"/>
  <c r="T221" i="42"/>
  <c r="S221" i="42"/>
  <c r="Q221" i="42"/>
  <c r="O221" i="42"/>
  <c r="M221" i="42"/>
  <c r="K221" i="42"/>
  <c r="X220" i="42"/>
  <c r="W220" i="42"/>
  <c r="V220" i="42"/>
  <c r="U220" i="42"/>
  <c r="T220" i="42"/>
  <c r="S220" i="42"/>
  <c r="Q220" i="42"/>
  <c r="O220" i="42"/>
  <c r="M220" i="42"/>
  <c r="K220" i="42"/>
  <c r="X219" i="42"/>
  <c r="W219" i="42"/>
  <c r="V219" i="42"/>
  <c r="U219" i="42"/>
  <c r="T219" i="42"/>
  <c r="S219" i="42"/>
  <c r="Q219" i="42"/>
  <c r="O219" i="42"/>
  <c r="M219" i="42"/>
  <c r="K219" i="42"/>
  <c r="X218" i="42"/>
  <c r="W218" i="42"/>
  <c r="V218" i="42"/>
  <c r="U218" i="42"/>
  <c r="T218" i="42"/>
  <c r="S218" i="42"/>
  <c r="Q218" i="42"/>
  <c r="O218" i="42"/>
  <c r="M218" i="42"/>
  <c r="K218" i="42"/>
  <c r="X217" i="42"/>
  <c r="W217" i="42"/>
  <c r="V217" i="42"/>
  <c r="U217" i="42"/>
  <c r="T217" i="42"/>
  <c r="S217" i="42"/>
  <c r="Q217" i="42"/>
  <c r="O217" i="42"/>
  <c r="M217" i="42"/>
  <c r="K217" i="42"/>
  <c r="X216" i="42"/>
  <c r="W216" i="42"/>
  <c r="V216" i="42"/>
  <c r="U216" i="42"/>
  <c r="T216" i="42"/>
  <c r="S216" i="42"/>
  <c r="Q216" i="42"/>
  <c r="O216" i="42"/>
  <c r="M216" i="42"/>
  <c r="K216" i="42"/>
  <c r="X215" i="42"/>
  <c r="W215" i="42"/>
  <c r="V215" i="42"/>
  <c r="U215" i="42"/>
  <c r="T215" i="42"/>
  <c r="S215" i="42"/>
  <c r="Q215" i="42"/>
  <c r="O215" i="42"/>
  <c r="M215" i="42"/>
  <c r="K215" i="42"/>
  <c r="X214" i="42"/>
  <c r="W214" i="42"/>
  <c r="V214" i="42"/>
  <c r="U214" i="42"/>
  <c r="T214" i="42"/>
  <c r="S214" i="42"/>
  <c r="Q214" i="42"/>
  <c r="O214" i="42"/>
  <c r="M214" i="42"/>
  <c r="K214" i="42"/>
  <c r="X213" i="42"/>
  <c r="W213" i="42"/>
  <c r="V213" i="42"/>
  <c r="U213" i="42"/>
  <c r="T213" i="42"/>
  <c r="S213" i="42"/>
  <c r="Q213" i="42"/>
  <c r="O213" i="42"/>
  <c r="M213" i="42"/>
  <c r="K213" i="42"/>
  <c r="X212" i="42"/>
  <c r="W212" i="42"/>
  <c r="V212" i="42"/>
  <c r="U212" i="42"/>
  <c r="T212" i="42"/>
  <c r="S212" i="42"/>
  <c r="Q212" i="42"/>
  <c r="O212" i="42"/>
  <c r="M212" i="42"/>
  <c r="K212" i="42"/>
  <c r="X211" i="42"/>
  <c r="W211" i="42"/>
  <c r="V211" i="42"/>
  <c r="U211" i="42"/>
  <c r="T211" i="42"/>
  <c r="S211" i="42"/>
  <c r="Q211" i="42"/>
  <c r="O211" i="42"/>
  <c r="M211" i="42"/>
  <c r="K211" i="42"/>
  <c r="X210" i="42"/>
  <c r="W210" i="42"/>
  <c r="V210" i="42"/>
  <c r="U210" i="42"/>
  <c r="T210" i="42"/>
  <c r="S210" i="42"/>
  <c r="Q210" i="42"/>
  <c r="O210" i="42"/>
  <c r="M210" i="42"/>
  <c r="K210" i="42"/>
  <c r="X209" i="42"/>
  <c r="W209" i="42"/>
  <c r="V209" i="42"/>
  <c r="U209" i="42"/>
  <c r="T209" i="42"/>
  <c r="S209" i="42"/>
  <c r="Q209" i="42"/>
  <c r="O209" i="42"/>
  <c r="M209" i="42"/>
  <c r="K209" i="42"/>
  <c r="X208" i="42"/>
  <c r="W208" i="42"/>
  <c r="V208" i="42"/>
  <c r="U208" i="42"/>
  <c r="T208" i="42"/>
  <c r="S208" i="42"/>
  <c r="Q208" i="42"/>
  <c r="O208" i="42"/>
  <c r="M208" i="42"/>
  <c r="K208" i="42"/>
  <c r="X207" i="42"/>
  <c r="W207" i="42"/>
  <c r="V207" i="42"/>
  <c r="U207" i="42"/>
  <c r="T207" i="42"/>
  <c r="S207" i="42"/>
  <c r="Q207" i="42"/>
  <c r="O207" i="42"/>
  <c r="M207" i="42"/>
  <c r="K207" i="42"/>
  <c r="X206" i="42"/>
  <c r="W206" i="42"/>
  <c r="V206" i="42"/>
  <c r="U206" i="42"/>
  <c r="T206" i="42"/>
  <c r="S206" i="42"/>
  <c r="Q206" i="42"/>
  <c r="O206" i="42"/>
  <c r="M206" i="42"/>
  <c r="K206" i="42"/>
  <c r="X205" i="42"/>
  <c r="W205" i="42"/>
  <c r="V205" i="42"/>
  <c r="U205" i="42"/>
  <c r="T205" i="42"/>
  <c r="S205" i="42"/>
  <c r="Q205" i="42"/>
  <c r="O205" i="42"/>
  <c r="M205" i="42"/>
  <c r="K205" i="42"/>
  <c r="X204" i="42"/>
  <c r="W204" i="42"/>
  <c r="V204" i="42"/>
  <c r="U204" i="42"/>
  <c r="T204" i="42"/>
  <c r="S204" i="42"/>
  <c r="Q204" i="42"/>
  <c r="O204" i="42"/>
  <c r="M204" i="42"/>
  <c r="K204" i="42"/>
  <c r="X203" i="42"/>
  <c r="W203" i="42"/>
  <c r="V203" i="42"/>
  <c r="U203" i="42"/>
  <c r="T203" i="42"/>
  <c r="S203" i="42"/>
  <c r="Q203" i="42"/>
  <c r="O203" i="42"/>
  <c r="M203" i="42"/>
  <c r="K203" i="42"/>
  <c r="X202" i="42"/>
  <c r="W202" i="42"/>
  <c r="V202" i="42"/>
  <c r="U202" i="42"/>
  <c r="T202" i="42"/>
  <c r="S202" i="42"/>
  <c r="Q202" i="42"/>
  <c r="O202" i="42"/>
  <c r="M202" i="42"/>
  <c r="K202" i="42"/>
  <c r="X201" i="42"/>
  <c r="W201" i="42"/>
  <c r="V201" i="42"/>
  <c r="U201" i="42"/>
  <c r="T201" i="42"/>
  <c r="S201" i="42"/>
  <c r="Q201" i="42"/>
  <c r="O201" i="42"/>
  <c r="M201" i="42"/>
  <c r="K201" i="42"/>
  <c r="X200" i="42"/>
  <c r="W200" i="42"/>
  <c r="V200" i="42"/>
  <c r="U200" i="42"/>
  <c r="T200" i="42"/>
  <c r="S200" i="42"/>
  <c r="Q200" i="42"/>
  <c r="O200" i="42"/>
  <c r="M200" i="42"/>
  <c r="K200" i="42"/>
  <c r="X199" i="42"/>
  <c r="W199" i="42"/>
  <c r="V199" i="42"/>
  <c r="U199" i="42"/>
  <c r="T199" i="42"/>
  <c r="S199" i="42"/>
  <c r="Q199" i="42"/>
  <c r="O199" i="42"/>
  <c r="M199" i="42"/>
  <c r="K199" i="42"/>
  <c r="X198" i="42"/>
  <c r="W198" i="42"/>
  <c r="V198" i="42"/>
  <c r="U198" i="42"/>
  <c r="T198" i="42"/>
  <c r="S198" i="42"/>
  <c r="Q198" i="42"/>
  <c r="O198" i="42"/>
  <c r="M198" i="42"/>
  <c r="K198" i="42"/>
  <c r="X197" i="42"/>
  <c r="W197" i="42"/>
  <c r="V197" i="42"/>
  <c r="U197" i="42"/>
  <c r="T197" i="42"/>
  <c r="S197" i="42"/>
  <c r="Q197" i="42"/>
  <c r="O197" i="42"/>
  <c r="M197" i="42"/>
  <c r="K197" i="42"/>
  <c r="X196" i="42"/>
  <c r="W196" i="42"/>
  <c r="V196" i="42"/>
  <c r="U196" i="42"/>
  <c r="T196" i="42"/>
  <c r="S196" i="42"/>
  <c r="Q196" i="42"/>
  <c r="O196" i="42"/>
  <c r="M196" i="42"/>
  <c r="K196" i="42"/>
  <c r="X195" i="42"/>
  <c r="W195" i="42"/>
  <c r="V195" i="42"/>
  <c r="U195" i="42"/>
  <c r="T195" i="42"/>
  <c r="S195" i="42"/>
  <c r="Q195" i="42"/>
  <c r="O195" i="42"/>
  <c r="M195" i="42"/>
  <c r="K195" i="42"/>
  <c r="X194" i="42"/>
  <c r="W194" i="42"/>
  <c r="V194" i="42"/>
  <c r="U194" i="42"/>
  <c r="T194" i="42"/>
  <c r="S194" i="42"/>
  <c r="Q194" i="42"/>
  <c r="O194" i="42"/>
  <c r="M194" i="42"/>
  <c r="K194" i="42"/>
  <c r="X193" i="42"/>
  <c r="W193" i="42"/>
  <c r="V193" i="42"/>
  <c r="U193" i="42"/>
  <c r="T193" i="42"/>
  <c r="S193" i="42"/>
  <c r="Q193" i="42"/>
  <c r="O193" i="42"/>
  <c r="M193" i="42"/>
  <c r="K193" i="42"/>
  <c r="X192" i="42"/>
  <c r="W192" i="42"/>
  <c r="V192" i="42"/>
  <c r="U192" i="42"/>
  <c r="T192" i="42"/>
  <c r="S192" i="42"/>
  <c r="Q192" i="42"/>
  <c r="O192" i="42"/>
  <c r="M192" i="42"/>
  <c r="K192" i="42"/>
  <c r="X191" i="42"/>
  <c r="W191" i="42"/>
  <c r="V191" i="42"/>
  <c r="U191" i="42"/>
  <c r="T191" i="42"/>
  <c r="S191" i="42"/>
  <c r="Q191" i="42"/>
  <c r="O191" i="42"/>
  <c r="M191" i="42"/>
  <c r="K191" i="42"/>
  <c r="X190" i="42"/>
  <c r="W190" i="42"/>
  <c r="V190" i="42"/>
  <c r="U190" i="42"/>
  <c r="T190" i="42"/>
  <c r="S190" i="42"/>
  <c r="Q190" i="42"/>
  <c r="O190" i="42"/>
  <c r="M190" i="42"/>
  <c r="K190" i="42"/>
  <c r="X189" i="42"/>
  <c r="W189" i="42"/>
  <c r="V189" i="42"/>
  <c r="U189" i="42"/>
  <c r="T189" i="42"/>
  <c r="S189" i="42"/>
  <c r="Q189" i="42"/>
  <c r="O189" i="42"/>
  <c r="M189" i="42"/>
  <c r="K189" i="42"/>
  <c r="X188" i="42"/>
  <c r="W188" i="42"/>
  <c r="V188" i="42"/>
  <c r="U188" i="42"/>
  <c r="T188" i="42"/>
  <c r="S188" i="42"/>
  <c r="Q188" i="42"/>
  <c r="O188" i="42"/>
  <c r="M188" i="42"/>
  <c r="K188" i="42"/>
  <c r="X187" i="42"/>
  <c r="W187" i="42"/>
  <c r="V187" i="42"/>
  <c r="U187" i="42"/>
  <c r="T187" i="42"/>
  <c r="S187" i="42"/>
  <c r="Q187" i="42"/>
  <c r="O187" i="42"/>
  <c r="M187" i="42"/>
  <c r="K187" i="42"/>
  <c r="X186" i="42"/>
  <c r="W186" i="42"/>
  <c r="V186" i="42"/>
  <c r="U186" i="42"/>
  <c r="T186" i="42"/>
  <c r="S186" i="42"/>
  <c r="Q186" i="42"/>
  <c r="O186" i="42"/>
  <c r="M186" i="42"/>
  <c r="K186" i="42"/>
  <c r="X185" i="42"/>
  <c r="W185" i="42"/>
  <c r="V185" i="42"/>
  <c r="U185" i="42"/>
  <c r="T185" i="42"/>
  <c r="S185" i="42"/>
  <c r="Q185" i="42"/>
  <c r="O185" i="42"/>
  <c r="M185" i="42"/>
  <c r="K185" i="42"/>
  <c r="X184" i="42"/>
  <c r="W184" i="42"/>
  <c r="V184" i="42"/>
  <c r="U184" i="42"/>
  <c r="T184" i="42"/>
  <c r="S184" i="42"/>
  <c r="Q184" i="42"/>
  <c r="O184" i="42"/>
  <c r="M184" i="42"/>
  <c r="K184" i="42"/>
  <c r="X183" i="42"/>
  <c r="W183" i="42"/>
  <c r="V183" i="42"/>
  <c r="U183" i="42"/>
  <c r="T183" i="42"/>
  <c r="S183" i="42"/>
  <c r="Q183" i="42"/>
  <c r="O183" i="42"/>
  <c r="M183" i="42"/>
  <c r="K183" i="42"/>
  <c r="X182" i="42"/>
  <c r="W182" i="42"/>
  <c r="V182" i="42"/>
  <c r="U182" i="42"/>
  <c r="T182" i="42"/>
  <c r="S182" i="42"/>
  <c r="Q182" i="42"/>
  <c r="O182" i="42"/>
  <c r="M182" i="42"/>
  <c r="K182" i="42"/>
  <c r="X181" i="42"/>
  <c r="W181" i="42"/>
  <c r="V181" i="42"/>
  <c r="U181" i="42"/>
  <c r="T181" i="42"/>
  <c r="S181" i="42"/>
  <c r="Q181" i="42"/>
  <c r="O181" i="42"/>
  <c r="M181" i="42"/>
  <c r="K181" i="42"/>
  <c r="X180" i="42"/>
  <c r="W180" i="42"/>
  <c r="V180" i="42"/>
  <c r="U180" i="42"/>
  <c r="T180" i="42"/>
  <c r="S180" i="42"/>
  <c r="Q180" i="42"/>
  <c r="O180" i="42"/>
  <c r="M180" i="42"/>
  <c r="K180" i="42"/>
  <c r="X179" i="42"/>
  <c r="W179" i="42"/>
  <c r="V179" i="42"/>
  <c r="U179" i="42"/>
  <c r="T179" i="42"/>
  <c r="S179" i="42"/>
  <c r="Q179" i="42"/>
  <c r="O179" i="42"/>
  <c r="M179" i="42"/>
  <c r="K179" i="42"/>
  <c r="X178" i="42"/>
  <c r="W178" i="42"/>
  <c r="V178" i="42"/>
  <c r="U178" i="42"/>
  <c r="T178" i="42"/>
  <c r="S178" i="42"/>
  <c r="Q178" i="42"/>
  <c r="O178" i="42"/>
  <c r="M178" i="42"/>
  <c r="K178" i="42"/>
  <c r="X177" i="42"/>
  <c r="W177" i="42"/>
  <c r="V177" i="42"/>
  <c r="U177" i="42"/>
  <c r="T177" i="42"/>
  <c r="S177" i="42"/>
  <c r="Q177" i="42"/>
  <c r="O177" i="42"/>
  <c r="M177" i="42"/>
  <c r="K177" i="42"/>
  <c r="X176" i="42"/>
  <c r="W176" i="42"/>
  <c r="V176" i="42"/>
  <c r="U176" i="42"/>
  <c r="T176" i="42"/>
  <c r="S176" i="42"/>
  <c r="Q176" i="42"/>
  <c r="O176" i="42"/>
  <c r="M176" i="42"/>
  <c r="K176" i="42"/>
  <c r="X175" i="42"/>
  <c r="W175" i="42"/>
  <c r="V175" i="42"/>
  <c r="U175" i="42"/>
  <c r="T175" i="42"/>
  <c r="S175" i="42"/>
  <c r="Q175" i="42"/>
  <c r="O175" i="42"/>
  <c r="M175" i="42"/>
  <c r="K175" i="42"/>
  <c r="X174" i="42"/>
  <c r="W174" i="42"/>
  <c r="V174" i="42"/>
  <c r="U174" i="42"/>
  <c r="T174" i="42"/>
  <c r="S174" i="42"/>
  <c r="Q174" i="42"/>
  <c r="O174" i="42"/>
  <c r="M174" i="42"/>
  <c r="K174" i="42"/>
  <c r="X173" i="42"/>
  <c r="W173" i="42"/>
  <c r="V173" i="42"/>
  <c r="U173" i="42"/>
  <c r="T173" i="42"/>
  <c r="S173" i="42"/>
  <c r="Q173" i="42"/>
  <c r="O173" i="42"/>
  <c r="M173" i="42"/>
  <c r="K173" i="42"/>
  <c r="X172" i="42"/>
  <c r="W172" i="42"/>
  <c r="V172" i="42"/>
  <c r="U172" i="42"/>
  <c r="T172" i="42"/>
  <c r="S172" i="42"/>
  <c r="Q172" i="42"/>
  <c r="O172" i="42"/>
  <c r="M172" i="42"/>
  <c r="K172" i="42"/>
  <c r="X171" i="42"/>
  <c r="W171" i="42"/>
  <c r="V171" i="42"/>
  <c r="U171" i="42"/>
  <c r="T171" i="42"/>
  <c r="S171" i="42"/>
  <c r="Q171" i="42"/>
  <c r="O171" i="42"/>
  <c r="M171" i="42"/>
  <c r="K171" i="42"/>
  <c r="X170" i="42"/>
  <c r="W170" i="42"/>
  <c r="V170" i="42"/>
  <c r="U170" i="42"/>
  <c r="T170" i="42"/>
  <c r="S170" i="42"/>
  <c r="Q170" i="42"/>
  <c r="O170" i="42"/>
  <c r="M170" i="42"/>
  <c r="K170" i="42"/>
  <c r="X169" i="42"/>
  <c r="W169" i="42"/>
  <c r="V169" i="42"/>
  <c r="U169" i="42"/>
  <c r="T169" i="42"/>
  <c r="S169" i="42"/>
  <c r="Q169" i="42"/>
  <c r="O169" i="42"/>
  <c r="M169" i="42"/>
  <c r="K169" i="42"/>
  <c r="X168" i="42"/>
  <c r="W168" i="42"/>
  <c r="V168" i="42"/>
  <c r="U168" i="42"/>
  <c r="T168" i="42"/>
  <c r="S168" i="42"/>
  <c r="Q168" i="42"/>
  <c r="O168" i="42"/>
  <c r="M168" i="42"/>
  <c r="K168" i="42"/>
  <c r="X167" i="42"/>
  <c r="W167" i="42"/>
  <c r="V167" i="42"/>
  <c r="U167" i="42"/>
  <c r="T167" i="42"/>
  <c r="S167" i="42"/>
  <c r="Q167" i="42"/>
  <c r="O167" i="42"/>
  <c r="M167" i="42"/>
  <c r="K167" i="42"/>
  <c r="X166" i="42"/>
  <c r="W166" i="42"/>
  <c r="V166" i="42"/>
  <c r="U166" i="42"/>
  <c r="T166" i="42"/>
  <c r="S166" i="42"/>
  <c r="Q166" i="42"/>
  <c r="O166" i="42"/>
  <c r="M166" i="42"/>
  <c r="K166" i="42"/>
  <c r="X165" i="42"/>
  <c r="W165" i="42"/>
  <c r="V165" i="42"/>
  <c r="U165" i="42"/>
  <c r="T165" i="42"/>
  <c r="S165" i="42"/>
  <c r="Q165" i="42"/>
  <c r="O165" i="42"/>
  <c r="M165" i="42"/>
  <c r="K165" i="42"/>
  <c r="X164" i="42"/>
  <c r="W164" i="42"/>
  <c r="V164" i="42"/>
  <c r="U164" i="42"/>
  <c r="T164" i="42"/>
  <c r="S164" i="42"/>
  <c r="Q164" i="42"/>
  <c r="O164" i="42"/>
  <c r="M164" i="42"/>
  <c r="K164" i="42"/>
  <c r="X163" i="42"/>
  <c r="W163" i="42"/>
  <c r="V163" i="42"/>
  <c r="U163" i="42"/>
  <c r="T163" i="42"/>
  <c r="S163" i="42"/>
  <c r="Q163" i="42"/>
  <c r="O163" i="42"/>
  <c r="M163" i="42"/>
  <c r="K163" i="42"/>
  <c r="X162" i="42"/>
  <c r="W162" i="42"/>
  <c r="V162" i="42"/>
  <c r="U162" i="42"/>
  <c r="T162" i="42"/>
  <c r="S162" i="42"/>
  <c r="Q162" i="42"/>
  <c r="O162" i="42"/>
  <c r="M162" i="42"/>
  <c r="K162" i="42"/>
  <c r="X161" i="42"/>
  <c r="W161" i="42"/>
  <c r="V161" i="42"/>
  <c r="U161" i="42"/>
  <c r="T161" i="42"/>
  <c r="S161" i="42"/>
  <c r="Q161" i="42"/>
  <c r="O161" i="42"/>
  <c r="M161" i="42"/>
  <c r="K161" i="42"/>
  <c r="X160" i="42"/>
  <c r="W160" i="42"/>
  <c r="V160" i="42"/>
  <c r="U160" i="42"/>
  <c r="T160" i="42"/>
  <c r="S160" i="42"/>
  <c r="Q160" i="42"/>
  <c r="O160" i="42"/>
  <c r="M160" i="42"/>
  <c r="K160" i="42"/>
  <c r="X159" i="42"/>
  <c r="W159" i="42"/>
  <c r="V159" i="42"/>
  <c r="U159" i="42"/>
  <c r="T159" i="42"/>
  <c r="S159" i="42"/>
  <c r="Q159" i="42"/>
  <c r="O159" i="42"/>
  <c r="M159" i="42"/>
  <c r="K159" i="42"/>
  <c r="X158" i="42"/>
  <c r="W158" i="42"/>
  <c r="V158" i="42"/>
  <c r="U158" i="42"/>
  <c r="T158" i="42"/>
  <c r="S158" i="42"/>
  <c r="Q158" i="42"/>
  <c r="O158" i="42"/>
  <c r="M158" i="42"/>
  <c r="K158" i="42"/>
  <c r="X157" i="42"/>
  <c r="W157" i="42"/>
  <c r="V157" i="42"/>
  <c r="U157" i="42"/>
  <c r="T157" i="42"/>
  <c r="S157" i="42"/>
  <c r="Q157" i="42"/>
  <c r="O157" i="42"/>
  <c r="M157" i="42"/>
  <c r="K157" i="42"/>
  <c r="X156" i="42"/>
  <c r="W156" i="42"/>
  <c r="V156" i="42"/>
  <c r="U156" i="42"/>
  <c r="T156" i="42"/>
  <c r="S156" i="42"/>
  <c r="Q156" i="42"/>
  <c r="O156" i="42"/>
  <c r="M156" i="42"/>
  <c r="K156" i="42"/>
  <c r="X155" i="42"/>
  <c r="W155" i="42"/>
  <c r="V155" i="42"/>
  <c r="U155" i="42"/>
  <c r="T155" i="42"/>
  <c r="S155" i="42"/>
  <c r="Q155" i="42"/>
  <c r="O155" i="42"/>
  <c r="M155" i="42"/>
  <c r="K155" i="42"/>
  <c r="X154" i="42"/>
  <c r="W154" i="42"/>
  <c r="V154" i="42"/>
  <c r="U154" i="42"/>
  <c r="T154" i="42"/>
  <c r="S154" i="42"/>
  <c r="Q154" i="42"/>
  <c r="O154" i="42"/>
  <c r="M154" i="42"/>
  <c r="K154" i="42"/>
  <c r="X153" i="42"/>
  <c r="W153" i="42"/>
  <c r="V153" i="42"/>
  <c r="U153" i="42"/>
  <c r="T153" i="42"/>
  <c r="S153" i="42"/>
  <c r="Q153" i="42"/>
  <c r="O153" i="42"/>
  <c r="M153" i="42"/>
  <c r="K153" i="42"/>
  <c r="X152" i="42"/>
  <c r="W152" i="42"/>
  <c r="V152" i="42"/>
  <c r="U152" i="42"/>
  <c r="T152" i="42"/>
  <c r="S152" i="42"/>
  <c r="Q152" i="42"/>
  <c r="O152" i="42"/>
  <c r="M152" i="42"/>
  <c r="K152" i="42"/>
  <c r="X151" i="42"/>
  <c r="W151" i="42"/>
  <c r="V151" i="42"/>
  <c r="U151" i="42"/>
  <c r="T151" i="42"/>
  <c r="S151" i="42"/>
  <c r="Q151" i="42"/>
  <c r="O151" i="42"/>
  <c r="M151" i="42"/>
  <c r="K151" i="42"/>
  <c r="X150" i="42"/>
  <c r="W150" i="42"/>
  <c r="V150" i="42"/>
  <c r="U150" i="42"/>
  <c r="T150" i="42"/>
  <c r="S150" i="42"/>
  <c r="Q150" i="42"/>
  <c r="O150" i="42"/>
  <c r="M150" i="42"/>
  <c r="K150" i="42"/>
  <c r="X149" i="42"/>
  <c r="W149" i="42"/>
  <c r="V149" i="42"/>
  <c r="U149" i="42"/>
  <c r="T149" i="42"/>
  <c r="S149" i="42"/>
  <c r="Q149" i="42"/>
  <c r="O149" i="42"/>
  <c r="M149" i="42"/>
  <c r="K149" i="42"/>
  <c r="X148" i="42"/>
  <c r="W148" i="42"/>
  <c r="V148" i="42"/>
  <c r="U148" i="42"/>
  <c r="T148" i="42"/>
  <c r="S148" i="42"/>
  <c r="Q148" i="42"/>
  <c r="O148" i="42"/>
  <c r="M148" i="42"/>
  <c r="K148" i="42"/>
  <c r="X147" i="42"/>
  <c r="W147" i="42"/>
  <c r="V147" i="42"/>
  <c r="U147" i="42"/>
  <c r="T147" i="42"/>
  <c r="S147" i="42"/>
  <c r="Q147" i="42"/>
  <c r="O147" i="42"/>
  <c r="M147" i="42"/>
  <c r="K147" i="42"/>
  <c r="X146" i="42"/>
  <c r="W146" i="42"/>
  <c r="V146" i="42"/>
  <c r="U146" i="42"/>
  <c r="T146" i="42"/>
  <c r="S146" i="42"/>
  <c r="Q146" i="42"/>
  <c r="O146" i="42"/>
  <c r="M146" i="42"/>
  <c r="K146" i="42"/>
  <c r="X145" i="42"/>
  <c r="W145" i="42"/>
  <c r="V145" i="42"/>
  <c r="U145" i="42"/>
  <c r="T145" i="42"/>
  <c r="S145" i="42"/>
  <c r="Q145" i="42"/>
  <c r="O145" i="42"/>
  <c r="M145" i="42"/>
  <c r="K145" i="42"/>
  <c r="X144" i="42"/>
  <c r="W144" i="42"/>
  <c r="V144" i="42"/>
  <c r="U144" i="42"/>
  <c r="T144" i="42"/>
  <c r="S144" i="42"/>
  <c r="Q144" i="42"/>
  <c r="O144" i="42"/>
  <c r="M144" i="42"/>
  <c r="K144" i="42"/>
  <c r="X143" i="42"/>
  <c r="W143" i="42"/>
  <c r="V143" i="42"/>
  <c r="U143" i="42"/>
  <c r="T143" i="42"/>
  <c r="S143" i="42"/>
  <c r="Q143" i="42"/>
  <c r="O143" i="42"/>
  <c r="M143" i="42"/>
  <c r="K143" i="42"/>
  <c r="X142" i="42"/>
  <c r="W142" i="42"/>
  <c r="V142" i="42"/>
  <c r="U142" i="42"/>
  <c r="T142" i="42"/>
  <c r="S142" i="42"/>
  <c r="Q142" i="42"/>
  <c r="O142" i="42"/>
  <c r="M142" i="42"/>
  <c r="K142" i="42"/>
  <c r="X141" i="42"/>
  <c r="W141" i="42"/>
  <c r="V141" i="42"/>
  <c r="U141" i="42"/>
  <c r="T141" i="42"/>
  <c r="S141" i="42"/>
  <c r="Q141" i="42"/>
  <c r="O141" i="42"/>
  <c r="M141" i="42"/>
  <c r="K141" i="42"/>
  <c r="X140" i="42"/>
  <c r="W140" i="42"/>
  <c r="V140" i="42"/>
  <c r="U140" i="42"/>
  <c r="T140" i="42"/>
  <c r="S140" i="42"/>
  <c r="Q140" i="42"/>
  <c r="O140" i="42"/>
  <c r="M140" i="42"/>
  <c r="K140" i="42"/>
  <c r="X139" i="42"/>
  <c r="W139" i="42"/>
  <c r="V139" i="42"/>
  <c r="U139" i="42"/>
  <c r="T139" i="42"/>
  <c r="S139" i="42"/>
  <c r="Q139" i="42"/>
  <c r="O139" i="42"/>
  <c r="M139" i="42"/>
  <c r="K139" i="42"/>
  <c r="X138" i="42"/>
  <c r="W138" i="42"/>
  <c r="V138" i="42"/>
  <c r="U138" i="42"/>
  <c r="T138" i="42"/>
  <c r="S138" i="42"/>
  <c r="Q138" i="42"/>
  <c r="O138" i="42"/>
  <c r="M138" i="42"/>
  <c r="K138" i="42"/>
  <c r="X137" i="42"/>
  <c r="W137" i="42"/>
  <c r="V137" i="42"/>
  <c r="U137" i="42"/>
  <c r="T137" i="42"/>
  <c r="S137" i="42"/>
  <c r="Q137" i="42"/>
  <c r="O137" i="42"/>
  <c r="M137" i="42"/>
  <c r="K137" i="42"/>
  <c r="X136" i="42"/>
  <c r="W136" i="42"/>
  <c r="V136" i="42"/>
  <c r="U136" i="42"/>
  <c r="T136" i="42"/>
  <c r="S136" i="42"/>
  <c r="Q136" i="42"/>
  <c r="O136" i="42"/>
  <c r="M136" i="42"/>
  <c r="K136" i="42"/>
  <c r="X135" i="42"/>
  <c r="W135" i="42"/>
  <c r="V135" i="42"/>
  <c r="U135" i="42"/>
  <c r="T135" i="42"/>
  <c r="S135" i="42"/>
  <c r="Q135" i="42"/>
  <c r="O135" i="42"/>
  <c r="M135" i="42"/>
  <c r="K135" i="42"/>
  <c r="X134" i="42"/>
  <c r="W134" i="42"/>
  <c r="V134" i="42"/>
  <c r="U134" i="42"/>
  <c r="T134" i="42"/>
  <c r="S134" i="42"/>
  <c r="Q134" i="42"/>
  <c r="O134" i="42"/>
  <c r="M134" i="42"/>
  <c r="K134" i="42"/>
  <c r="X133" i="42"/>
  <c r="W133" i="42"/>
  <c r="V133" i="42"/>
  <c r="U133" i="42"/>
  <c r="T133" i="42"/>
  <c r="S133" i="42"/>
  <c r="Q133" i="42"/>
  <c r="O133" i="42"/>
  <c r="M133" i="42"/>
  <c r="K133" i="42"/>
  <c r="X132" i="42"/>
  <c r="W132" i="42"/>
  <c r="V132" i="42"/>
  <c r="U132" i="42"/>
  <c r="T132" i="42"/>
  <c r="S132" i="42"/>
  <c r="Q132" i="42"/>
  <c r="O132" i="42"/>
  <c r="M132" i="42"/>
  <c r="K132" i="42"/>
  <c r="X131" i="42"/>
  <c r="W131" i="42"/>
  <c r="V131" i="42"/>
  <c r="U131" i="42"/>
  <c r="T131" i="42"/>
  <c r="S131" i="42"/>
  <c r="Q131" i="42"/>
  <c r="O131" i="42"/>
  <c r="M131" i="42"/>
  <c r="K131" i="42"/>
  <c r="X130" i="42"/>
  <c r="W130" i="42"/>
  <c r="V130" i="42"/>
  <c r="U130" i="42"/>
  <c r="T130" i="42"/>
  <c r="S130" i="42"/>
  <c r="Q130" i="42"/>
  <c r="O130" i="42"/>
  <c r="M130" i="42"/>
  <c r="K130" i="42"/>
  <c r="X129" i="42"/>
  <c r="W129" i="42"/>
  <c r="V129" i="42"/>
  <c r="U129" i="42"/>
  <c r="T129" i="42"/>
  <c r="S129" i="42"/>
  <c r="Q129" i="42"/>
  <c r="O129" i="42"/>
  <c r="M129" i="42"/>
  <c r="K129" i="42"/>
  <c r="X128" i="42"/>
  <c r="W128" i="42"/>
  <c r="V128" i="42"/>
  <c r="U128" i="42"/>
  <c r="T128" i="42"/>
  <c r="S128" i="42"/>
  <c r="Q128" i="42"/>
  <c r="O128" i="42"/>
  <c r="M128" i="42"/>
  <c r="K128" i="42"/>
  <c r="X127" i="42"/>
  <c r="W127" i="42"/>
  <c r="V127" i="42"/>
  <c r="U127" i="42"/>
  <c r="T127" i="42"/>
  <c r="S127" i="42"/>
  <c r="Q127" i="42"/>
  <c r="O127" i="42"/>
  <c r="M127" i="42"/>
  <c r="K127" i="42"/>
  <c r="X126" i="42"/>
  <c r="W126" i="42"/>
  <c r="V126" i="42"/>
  <c r="U126" i="42"/>
  <c r="T126" i="42"/>
  <c r="S126" i="42"/>
  <c r="Q126" i="42"/>
  <c r="O126" i="42"/>
  <c r="M126" i="42"/>
  <c r="K126" i="42"/>
  <c r="X125" i="42"/>
  <c r="W125" i="42"/>
  <c r="V125" i="42"/>
  <c r="U125" i="42"/>
  <c r="T125" i="42"/>
  <c r="S125" i="42"/>
  <c r="Q125" i="42"/>
  <c r="O125" i="42"/>
  <c r="M125" i="42"/>
  <c r="K125" i="42"/>
  <c r="X124" i="42"/>
  <c r="W124" i="42"/>
  <c r="V124" i="42"/>
  <c r="U124" i="42"/>
  <c r="T124" i="42"/>
  <c r="S124" i="42"/>
  <c r="Q124" i="42"/>
  <c r="O124" i="42"/>
  <c r="M124" i="42"/>
  <c r="K124" i="42"/>
  <c r="X123" i="42"/>
  <c r="W123" i="42"/>
  <c r="V123" i="42"/>
  <c r="U123" i="42"/>
  <c r="T123" i="42"/>
  <c r="S123" i="42"/>
  <c r="Q123" i="42"/>
  <c r="O123" i="42"/>
  <c r="M123" i="42"/>
  <c r="K123" i="42"/>
  <c r="X122" i="42"/>
  <c r="W122" i="42"/>
  <c r="V122" i="42"/>
  <c r="U122" i="42"/>
  <c r="T122" i="42"/>
  <c r="S122" i="42"/>
  <c r="Q122" i="42"/>
  <c r="O122" i="42"/>
  <c r="M122" i="42"/>
  <c r="K122" i="42"/>
  <c r="X121" i="42"/>
  <c r="W121" i="42"/>
  <c r="V121" i="42"/>
  <c r="U121" i="42"/>
  <c r="T121" i="42"/>
  <c r="S121" i="42"/>
  <c r="Q121" i="42"/>
  <c r="O121" i="42"/>
  <c r="M121" i="42"/>
  <c r="K121" i="42"/>
  <c r="X120" i="42"/>
  <c r="W120" i="42"/>
  <c r="V120" i="42"/>
  <c r="U120" i="42"/>
  <c r="T120" i="42"/>
  <c r="S120" i="42"/>
  <c r="Q120" i="42"/>
  <c r="O120" i="42"/>
  <c r="M120" i="42"/>
  <c r="K120" i="42"/>
  <c r="X119" i="42"/>
  <c r="W119" i="42"/>
  <c r="V119" i="42"/>
  <c r="U119" i="42"/>
  <c r="T119" i="42"/>
  <c r="S119" i="42"/>
  <c r="Q119" i="42"/>
  <c r="O119" i="42"/>
  <c r="M119" i="42"/>
  <c r="K119" i="42"/>
  <c r="X118" i="42"/>
  <c r="W118" i="42"/>
  <c r="V118" i="42"/>
  <c r="U118" i="42"/>
  <c r="T118" i="42"/>
  <c r="S118" i="42"/>
  <c r="Q118" i="42"/>
  <c r="O118" i="42"/>
  <c r="M118" i="42"/>
  <c r="K118" i="42"/>
  <c r="X117" i="42"/>
  <c r="W117" i="42"/>
  <c r="V117" i="42"/>
  <c r="U117" i="42"/>
  <c r="T117" i="42"/>
  <c r="S117" i="42"/>
  <c r="Q117" i="42"/>
  <c r="O117" i="42"/>
  <c r="M117" i="42"/>
  <c r="K117" i="42"/>
  <c r="X116" i="42"/>
  <c r="W116" i="42"/>
  <c r="V116" i="42"/>
  <c r="U116" i="42"/>
  <c r="T116" i="42"/>
  <c r="S116" i="42"/>
  <c r="Q116" i="42"/>
  <c r="O116" i="42"/>
  <c r="M116" i="42"/>
  <c r="K116" i="42"/>
  <c r="X115" i="42"/>
  <c r="W115" i="42"/>
  <c r="V115" i="42"/>
  <c r="U115" i="42"/>
  <c r="T115" i="42"/>
  <c r="S115" i="42"/>
  <c r="Q115" i="42"/>
  <c r="O115" i="42"/>
  <c r="M115" i="42"/>
  <c r="K115" i="42"/>
  <c r="X114" i="42"/>
  <c r="W114" i="42"/>
  <c r="V114" i="42"/>
  <c r="U114" i="42"/>
  <c r="T114" i="42"/>
  <c r="S114" i="42"/>
  <c r="Q114" i="42"/>
  <c r="O114" i="42"/>
  <c r="M114" i="42"/>
  <c r="K114" i="42"/>
  <c r="X113" i="42"/>
  <c r="W113" i="42"/>
  <c r="V113" i="42"/>
  <c r="U113" i="42"/>
  <c r="T113" i="42"/>
  <c r="S113" i="42"/>
  <c r="Q113" i="42"/>
  <c r="O113" i="42"/>
  <c r="M113" i="42"/>
  <c r="K113" i="42"/>
  <c r="X112" i="42"/>
  <c r="W112" i="42"/>
  <c r="V112" i="42"/>
  <c r="U112" i="42"/>
  <c r="T112" i="42"/>
  <c r="S112" i="42"/>
  <c r="Q112" i="42"/>
  <c r="O112" i="42"/>
  <c r="M112" i="42"/>
  <c r="K112" i="42"/>
  <c r="X111" i="42"/>
  <c r="W111" i="42"/>
  <c r="V111" i="42"/>
  <c r="U111" i="42"/>
  <c r="T111" i="42"/>
  <c r="S111" i="42"/>
  <c r="Q111" i="42"/>
  <c r="O111" i="42"/>
  <c r="M111" i="42"/>
  <c r="K111" i="42"/>
  <c r="X110" i="42"/>
  <c r="W110" i="42"/>
  <c r="V110" i="42"/>
  <c r="U110" i="42"/>
  <c r="T110" i="42"/>
  <c r="S110" i="42"/>
  <c r="Q110" i="42"/>
  <c r="O110" i="42"/>
  <c r="M110" i="42"/>
  <c r="K110" i="42"/>
  <c r="X109" i="42"/>
  <c r="W109" i="42"/>
  <c r="V109" i="42"/>
  <c r="U109" i="42"/>
  <c r="T109" i="42"/>
  <c r="S109" i="42"/>
  <c r="Q109" i="42"/>
  <c r="O109" i="42"/>
  <c r="M109" i="42"/>
  <c r="K109" i="42"/>
  <c r="X108" i="42"/>
  <c r="W108" i="42"/>
  <c r="V108" i="42"/>
  <c r="U108" i="42"/>
  <c r="T108" i="42"/>
  <c r="S108" i="42"/>
  <c r="Q108" i="42"/>
  <c r="O108" i="42"/>
  <c r="M108" i="42"/>
  <c r="K108" i="42"/>
  <c r="X107" i="42"/>
  <c r="W107" i="42"/>
  <c r="V107" i="42"/>
  <c r="U107" i="42"/>
  <c r="T107" i="42"/>
  <c r="S107" i="42"/>
  <c r="Q107" i="42"/>
  <c r="O107" i="42"/>
  <c r="M107" i="42"/>
  <c r="K107" i="42"/>
  <c r="X106" i="42"/>
  <c r="W106" i="42"/>
  <c r="V106" i="42"/>
  <c r="U106" i="42"/>
  <c r="T106" i="42"/>
  <c r="S106" i="42"/>
  <c r="Q106" i="42"/>
  <c r="O106" i="42"/>
  <c r="M106" i="42"/>
  <c r="K106" i="42"/>
  <c r="X105" i="42"/>
  <c r="W105" i="42"/>
  <c r="V105" i="42"/>
  <c r="U105" i="42"/>
  <c r="T105" i="42"/>
  <c r="S105" i="42"/>
  <c r="Q105" i="42"/>
  <c r="O105" i="42"/>
  <c r="M105" i="42"/>
  <c r="K105" i="42"/>
  <c r="X104" i="42"/>
  <c r="W104" i="42"/>
  <c r="V104" i="42"/>
  <c r="U104" i="42"/>
  <c r="T104" i="42"/>
  <c r="S104" i="42"/>
  <c r="Q104" i="42"/>
  <c r="O104" i="42"/>
  <c r="M104" i="42"/>
  <c r="K104" i="42"/>
  <c r="X103" i="42"/>
  <c r="W103" i="42"/>
  <c r="V103" i="42"/>
  <c r="U103" i="42"/>
  <c r="T103" i="42"/>
  <c r="S103" i="42"/>
  <c r="Q103" i="42"/>
  <c r="O103" i="42"/>
  <c r="M103" i="42"/>
  <c r="K103" i="42"/>
  <c r="X102" i="42"/>
  <c r="W102" i="42"/>
  <c r="V102" i="42"/>
  <c r="U102" i="42"/>
  <c r="T102" i="42"/>
  <c r="S102" i="42"/>
  <c r="Q102" i="42"/>
  <c r="O102" i="42"/>
  <c r="M102" i="42"/>
  <c r="K102" i="42"/>
  <c r="X101" i="42"/>
  <c r="W101" i="42"/>
  <c r="V101" i="42"/>
  <c r="U101" i="42"/>
  <c r="T101" i="42"/>
  <c r="S101" i="42"/>
  <c r="Q101" i="42"/>
  <c r="O101" i="42"/>
  <c r="M101" i="42"/>
  <c r="K101" i="42"/>
  <c r="X100" i="42"/>
  <c r="W100" i="42"/>
  <c r="V100" i="42"/>
  <c r="U100" i="42"/>
  <c r="T100" i="42"/>
  <c r="S100" i="42"/>
  <c r="Q100" i="42"/>
  <c r="O100" i="42"/>
  <c r="M100" i="42"/>
  <c r="K100" i="42"/>
  <c r="X99" i="42"/>
  <c r="W99" i="42"/>
  <c r="V99" i="42"/>
  <c r="U99" i="42"/>
  <c r="T99" i="42"/>
  <c r="S99" i="42"/>
  <c r="Q99" i="42"/>
  <c r="O99" i="42"/>
  <c r="M99" i="42"/>
  <c r="K99" i="42"/>
  <c r="X98" i="42"/>
  <c r="W98" i="42"/>
  <c r="V98" i="42"/>
  <c r="U98" i="42"/>
  <c r="T98" i="42"/>
  <c r="S98" i="42"/>
  <c r="Q98" i="42"/>
  <c r="O98" i="42"/>
  <c r="M98" i="42"/>
  <c r="K98" i="42"/>
  <c r="X97" i="42"/>
  <c r="W97" i="42"/>
  <c r="V97" i="42"/>
  <c r="U97" i="42"/>
  <c r="T97" i="42"/>
  <c r="S97" i="42"/>
  <c r="Q97" i="42"/>
  <c r="O97" i="42"/>
  <c r="M97" i="42"/>
  <c r="K97" i="42"/>
  <c r="X96" i="42"/>
  <c r="W96" i="42"/>
  <c r="V96" i="42"/>
  <c r="U96" i="42"/>
  <c r="T96" i="42"/>
  <c r="S96" i="42"/>
  <c r="Q96" i="42"/>
  <c r="O96" i="42"/>
  <c r="M96" i="42"/>
  <c r="K96" i="42"/>
  <c r="X95" i="42"/>
  <c r="W95" i="42"/>
  <c r="V95" i="42"/>
  <c r="U95" i="42"/>
  <c r="T95" i="42"/>
  <c r="S95" i="42"/>
  <c r="Q95" i="42"/>
  <c r="O95" i="42"/>
  <c r="M95" i="42"/>
  <c r="K95" i="42"/>
  <c r="X94" i="42"/>
  <c r="W94" i="42"/>
  <c r="V94" i="42"/>
  <c r="U94" i="42"/>
  <c r="T94" i="42"/>
  <c r="S94" i="42"/>
  <c r="Q94" i="42"/>
  <c r="O94" i="42"/>
  <c r="M94" i="42"/>
  <c r="K94" i="42"/>
  <c r="X93" i="42"/>
  <c r="W93" i="42"/>
  <c r="V93" i="42"/>
  <c r="U93" i="42"/>
  <c r="T93" i="42"/>
  <c r="S93" i="42"/>
  <c r="Q93" i="42"/>
  <c r="O93" i="42"/>
  <c r="M93" i="42"/>
  <c r="K93" i="42"/>
  <c r="X92" i="42"/>
  <c r="W92" i="42"/>
  <c r="V92" i="42"/>
  <c r="U92" i="42"/>
  <c r="T92" i="42"/>
  <c r="S92" i="42"/>
  <c r="Q92" i="42"/>
  <c r="O92" i="42"/>
  <c r="M92" i="42"/>
  <c r="K92" i="42"/>
  <c r="X91" i="42"/>
  <c r="W91" i="42"/>
  <c r="V91" i="42"/>
  <c r="U91" i="42"/>
  <c r="T91" i="42"/>
  <c r="S91" i="42"/>
  <c r="Q91" i="42"/>
  <c r="O91" i="42"/>
  <c r="M91" i="42"/>
  <c r="K91" i="42"/>
  <c r="X90" i="42"/>
  <c r="W90" i="42"/>
  <c r="V90" i="42"/>
  <c r="U90" i="42"/>
  <c r="T90" i="42"/>
  <c r="S90" i="42"/>
  <c r="Q90" i="42"/>
  <c r="O90" i="42"/>
  <c r="M90" i="42"/>
  <c r="K90" i="42"/>
  <c r="X89" i="42"/>
  <c r="W89" i="42"/>
  <c r="V89" i="42"/>
  <c r="U89" i="42"/>
  <c r="T89" i="42"/>
  <c r="S89" i="42"/>
  <c r="Q89" i="42"/>
  <c r="O89" i="42"/>
  <c r="M89" i="42"/>
  <c r="K89" i="42"/>
  <c r="X88" i="42"/>
  <c r="W88" i="42"/>
  <c r="V88" i="42"/>
  <c r="U88" i="42"/>
  <c r="T88" i="42"/>
  <c r="S88" i="42"/>
  <c r="Q88" i="42"/>
  <c r="O88" i="42"/>
  <c r="M88" i="42"/>
  <c r="K88" i="42"/>
  <c r="X87" i="42"/>
  <c r="W87" i="42"/>
  <c r="V87" i="42"/>
  <c r="U87" i="42"/>
  <c r="T87" i="42"/>
  <c r="S87" i="42"/>
  <c r="Q87" i="42"/>
  <c r="O87" i="42"/>
  <c r="M87" i="42"/>
  <c r="K87" i="42"/>
  <c r="X86" i="42"/>
  <c r="W86" i="42"/>
  <c r="V86" i="42"/>
  <c r="U86" i="42"/>
  <c r="T86" i="42"/>
  <c r="S86" i="42"/>
  <c r="Q86" i="42"/>
  <c r="O86" i="42"/>
  <c r="M86" i="42"/>
  <c r="K86" i="42"/>
  <c r="X85" i="42"/>
  <c r="W85" i="42"/>
  <c r="V85" i="42"/>
  <c r="U85" i="42"/>
  <c r="T85" i="42"/>
  <c r="S85" i="42"/>
  <c r="Q85" i="42"/>
  <c r="O85" i="42"/>
  <c r="M85" i="42"/>
  <c r="K85" i="42"/>
  <c r="X84" i="42"/>
  <c r="W84" i="42"/>
  <c r="V84" i="42"/>
  <c r="U84" i="42"/>
  <c r="T84" i="42"/>
  <c r="S84" i="42"/>
  <c r="Q84" i="42"/>
  <c r="O84" i="42"/>
  <c r="M84" i="42"/>
  <c r="K84" i="42"/>
  <c r="X83" i="42"/>
  <c r="W83" i="42"/>
  <c r="V83" i="42"/>
  <c r="U83" i="42"/>
  <c r="T83" i="42"/>
  <c r="S83" i="42"/>
  <c r="Q83" i="42"/>
  <c r="O83" i="42"/>
  <c r="M83" i="42"/>
  <c r="K83" i="42"/>
  <c r="X82" i="42"/>
  <c r="W82" i="42"/>
  <c r="V82" i="42"/>
  <c r="U82" i="42"/>
  <c r="T82" i="42"/>
  <c r="S82" i="42"/>
  <c r="Q82" i="42"/>
  <c r="O82" i="42"/>
  <c r="M82" i="42"/>
  <c r="K82" i="42"/>
  <c r="X81" i="42"/>
  <c r="W81" i="42"/>
  <c r="V81" i="42"/>
  <c r="U81" i="42"/>
  <c r="T81" i="42"/>
  <c r="S81" i="42"/>
  <c r="Q81" i="42"/>
  <c r="O81" i="42"/>
  <c r="M81" i="42"/>
  <c r="K81" i="42"/>
  <c r="X80" i="42"/>
  <c r="W80" i="42"/>
  <c r="V80" i="42"/>
  <c r="U80" i="42"/>
  <c r="T80" i="42"/>
  <c r="S80" i="42"/>
  <c r="Q80" i="42"/>
  <c r="O80" i="42"/>
  <c r="M80" i="42"/>
  <c r="K80" i="42"/>
  <c r="X79" i="42"/>
  <c r="W79" i="42"/>
  <c r="V79" i="42"/>
  <c r="U79" i="42"/>
  <c r="T79" i="42"/>
  <c r="S79" i="42"/>
  <c r="Q79" i="42"/>
  <c r="O79" i="42"/>
  <c r="M79" i="42"/>
  <c r="K79" i="42"/>
  <c r="X78" i="42"/>
  <c r="W78" i="42"/>
  <c r="V78" i="42"/>
  <c r="U78" i="42"/>
  <c r="T78" i="42"/>
  <c r="S78" i="42"/>
  <c r="Q78" i="42"/>
  <c r="O78" i="42"/>
  <c r="M78" i="42"/>
  <c r="K78" i="42"/>
  <c r="X77" i="42"/>
  <c r="W77" i="42"/>
  <c r="V77" i="42"/>
  <c r="U77" i="42"/>
  <c r="T77" i="42"/>
  <c r="S77" i="42"/>
  <c r="Q77" i="42"/>
  <c r="O77" i="42"/>
  <c r="M77" i="42"/>
  <c r="K77" i="42"/>
  <c r="X76" i="42"/>
  <c r="W76" i="42"/>
  <c r="V76" i="42"/>
  <c r="U76" i="42"/>
  <c r="T76" i="42"/>
  <c r="S76" i="42"/>
  <c r="Q76" i="42"/>
  <c r="O76" i="42"/>
  <c r="M76" i="42"/>
  <c r="K76" i="42"/>
  <c r="X75" i="42"/>
  <c r="W75" i="42"/>
  <c r="V75" i="42"/>
  <c r="U75" i="42"/>
  <c r="T75" i="42"/>
  <c r="S75" i="42"/>
  <c r="Q75" i="42"/>
  <c r="O75" i="42"/>
  <c r="M75" i="42"/>
  <c r="K75" i="42"/>
  <c r="X74" i="42"/>
  <c r="W74" i="42"/>
  <c r="V74" i="42"/>
  <c r="U74" i="42"/>
  <c r="T74" i="42"/>
  <c r="S74" i="42"/>
  <c r="Q74" i="42"/>
  <c r="O74" i="42"/>
  <c r="M74" i="42"/>
  <c r="K74" i="42"/>
  <c r="X73" i="42"/>
  <c r="W73" i="42"/>
  <c r="V73" i="42"/>
  <c r="U73" i="42"/>
  <c r="T73" i="42"/>
  <c r="S73" i="42"/>
  <c r="Q73" i="42"/>
  <c r="O73" i="42"/>
  <c r="M73" i="42"/>
  <c r="K73" i="42"/>
  <c r="X72" i="42"/>
  <c r="W72" i="42"/>
  <c r="V72" i="42"/>
  <c r="U72" i="42"/>
  <c r="T72" i="42"/>
  <c r="S72" i="42"/>
  <c r="Q72" i="42"/>
  <c r="O72" i="42"/>
  <c r="M72" i="42"/>
  <c r="K72" i="42"/>
  <c r="X71" i="42"/>
  <c r="W71" i="42"/>
  <c r="V71" i="42"/>
  <c r="U71" i="42"/>
  <c r="T71" i="42"/>
  <c r="S71" i="42"/>
  <c r="Q71" i="42"/>
  <c r="O71" i="42"/>
  <c r="M71" i="42"/>
  <c r="K71" i="42"/>
  <c r="X70" i="42"/>
  <c r="W70" i="42"/>
  <c r="V70" i="42"/>
  <c r="U70" i="42"/>
  <c r="T70" i="42"/>
  <c r="S70" i="42"/>
  <c r="Q70" i="42"/>
  <c r="O70" i="42"/>
  <c r="M70" i="42"/>
  <c r="K70" i="42"/>
  <c r="X69" i="42"/>
  <c r="W69" i="42"/>
  <c r="V69" i="42"/>
  <c r="U69" i="42"/>
  <c r="T69" i="42"/>
  <c r="S69" i="42"/>
  <c r="Q69" i="42"/>
  <c r="O69" i="42"/>
  <c r="M69" i="42"/>
  <c r="K69" i="42"/>
  <c r="X68" i="42"/>
  <c r="W68" i="42"/>
  <c r="V68" i="42"/>
  <c r="U68" i="42"/>
  <c r="T68" i="42"/>
  <c r="S68" i="42"/>
  <c r="Q68" i="42"/>
  <c r="O68" i="42"/>
  <c r="M68" i="42"/>
  <c r="K68" i="42"/>
  <c r="X67" i="42"/>
  <c r="W67" i="42"/>
  <c r="V67" i="42"/>
  <c r="U67" i="42"/>
  <c r="T67" i="42"/>
  <c r="S67" i="42"/>
  <c r="Q67" i="42"/>
  <c r="O67" i="42"/>
  <c r="M67" i="42"/>
  <c r="K67" i="42"/>
  <c r="X66" i="42"/>
  <c r="W66" i="42"/>
  <c r="V66" i="42"/>
  <c r="U66" i="42"/>
  <c r="T66" i="42"/>
  <c r="S66" i="42"/>
  <c r="Q66" i="42"/>
  <c r="O66" i="42"/>
  <c r="M66" i="42"/>
  <c r="K66" i="42"/>
  <c r="X65" i="42"/>
  <c r="W65" i="42"/>
  <c r="V65" i="42"/>
  <c r="U65" i="42"/>
  <c r="T65" i="42"/>
  <c r="S65" i="42"/>
  <c r="Q65" i="42"/>
  <c r="O65" i="42"/>
  <c r="M65" i="42"/>
  <c r="K65" i="42"/>
  <c r="X64" i="42"/>
  <c r="W64" i="42"/>
  <c r="V64" i="42"/>
  <c r="U64" i="42"/>
  <c r="T64" i="42"/>
  <c r="S64" i="42"/>
  <c r="Q64" i="42"/>
  <c r="O64" i="42"/>
  <c r="M64" i="42"/>
  <c r="K64" i="42"/>
  <c r="X63" i="42"/>
  <c r="W63" i="42"/>
  <c r="V63" i="42"/>
  <c r="U63" i="42"/>
  <c r="T63" i="42"/>
  <c r="S63" i="42"/>
  <c r="Q63" i="42"/>
  <c r="O63" i="42"/>
  <c r="M63" i="42"/>
  <c r="K63" i="42"/>
  <c r="X62" i="42"/>
  <c r="W62" i="42"/>
  <c r="V62" i="42"/>
  <c r="U62" i="42"/>
  <c r="T62" i="42"/>
  <c r="S62" i="42"/>
  <c r="Q62" i="42"/>
  <c r="O62" i="42"/>
  <c r="M62" i="42"/>
  <c r="K62" i="42"/>
  <c r="X61" i="42"/>
  <c r="W61" i="42"/>
  <c r="V61" i="42"/>
  <c r="U61" i="42"/>
  <c r="T61" i="42"/>
  <c r="S61" i="42"/>
  <c r="Q61" i="42"/>
  <c r="O61" i="42"/>
  <c r="M61" i="42"/>
  <c r="K61" i="42"/>
  <c r="X60" i="42"/>
  <c r="W60" i="42"/>
  <c r="V60" i="42"/>
  <c r="U60" i="42"/>
  <c r="T60" i="42"/>
  <c r="S60" i="42"/>
  <c r="Q60" i="42"/>
  <c r="O60" i="42"/>
  <c r="M60" i="42"/>
  <c r="K60" i="42"/>
  <c r="X59" i="42"/>
  <c r="W59" i="42"/>
  <c r="V59" i="42"/>
  <c r="U59" i="42"/>
  <c r="T59" i="42"/>
  <c r="S59" i="42"/>
  <c r="Q59" i="42"/>
  <c r="O59" i="42"/>
  <c r="M59" i="42"/>
  <c r="K59" i="42"/>
  <c r="X58" i="42"/>
  <c r="W58" i="42"/>
  <c r="V58" i="42"/>
  <c r="U58" i="42"/>
  <c r="T58" i="42"/>
  <c r="S58" i="42"/>
  <c r="Q58" i="42"/>
  <c r="O58" i="42"/>
  <c r="M58" i="42"/>
  <c r="K58" i="42"/>
  <c r="X57" i="42"/>
  <c r="W57" i="42"/>
  <c r="V57" i="42"/>
  <c r="U57" i="42"/>
  <c r="T57" i="42"/>
  <c r="S57" i="42"/>
  <c r="Q57" i="42"/>
  <c r="O57" i="42"/>
  <c r="M57" i="42"/>
  <c r="K57" i="42"/>
  <c r="X56" i="42"/>
  <c r="W56" i="42"/>
  <c r="V56" i="42"/>
  <c r="U56" i="42"/>
  <c r="T56" i="42"/>
  <c r="S56" i="42"/>
  <c r="Q56" i="42"/>
  <c r="O56" i="42"/>
  <c r="M56" i="42"/>
  <c r="K56" i="42"/>
  <c r="X55" i="42"/>
  <c r="W55" i="42"/>
  <c r="V55" i="42"/>
  <c r="U55" i="42"/>
  <c r="T55" i="42"/>
  <c r="S55" i="42"/>
  <c r="Q55" i="42"/>
  <c r="O55" i="42"/>
  <c r="M55" i="42"/>
  <c r="K55" i="42"/>
  <c r="X54" i="42"/>
  <c r="W54" i="42"/>
  <c r="V54" i="42"/>
  <c r="U54" i="42"/>
  <c r="T54" i="42"/>
  <c r="S54" i="42"/>
  <c r="Q54" i="42"/>
  <c r="O54" i="42"/>
  <c r="M54" i="42"/>
  <c r="K54" i="42"/>
  <c r="X53" i="42"/>
  <c r="W53" i="42"/>
  <c r="V53" i="42"/>
  <c r="U53" i="42"/>
  <c r="T53" i="42"/>
  <c r="S53" i="42"/>
  <c r="Q53" i="42"/>
  <c r="O53" i="42"/>
  <c r="M53" i="42"/>
  <c r="K53" i="42"/>
  <c r="X52" i="42"/>
  <c r="W52" i="42"/>
  <c r="V52" i="42"/>
  <c r="U52" i="42"/>
  <c r="T52" i="42"/>
  <c r="S52" i="42"/>
  <c r="Q52" i="42"/>
  <c r="O52" i="42"/>
  <c r="M52" i="42"/>
  <c r="K52" i="42"/>
  <c r="X51" i="42"/>
  <c r="W51" i="42"/>
  <c r="V51" i="42"/>
  <c r="U51" i="42"/>
  <c r="T51" i="42"/>
  <c r="S51" i="42"/>
  <c r="Q51" i="42"/>
  <c r="O51" i="42"/>
  <c r="M51" i="42"/>
  <c r="K51" i="42"/>
  <c r="X50" i="42"/>
  <c r="W50" i="42"/>
  <c r="V50" i="42"/>
  <c r="U50" i="42"/>
  <c r="T50" i="42"/>
  <c r="S50" i="42"/>
  <c r="Q50" i="42"/>
  <c r="O50" i="42"/>
  <c r="M50" i="42"/>
  <c r="K50" i="42"/>
  <c r="X49" i="42"/>
  <c r="W49" i="42"/>
  <c r="V49" i="42"/>
  <c r="U49" i="42"/>
  <c r="T49" i="42"/>
  <c r="S49" i="42"/>
  <c r="Q49" i="42"/>
  <c r="O49" i="42"/>
  <c r="M49" i="42"/>
  <c r="K49" i="42"/>
  <c r="X48" i="42"/>
  <c r="W48" i="42"/>
  <c r="V48" i="42"/>
  <c r="U48" i="42"/>
  <c r="T48" i="42"/>
  <c r="S48" i="42"/>
  <c r="Q48" i="42"/>
  <c r="O48" i="42"/>
  <c r="M48" i="42"/>
  <c r="K48" i="42"/>
  <c r="X47" i="42"/>
  <c r="W47" i="42"/>
  <c r="V47" i="42"/>
  <c r="U47" i="42"/>
  <c r="T47" i="42"/>
  <c r="S47" i="42"/>
  <c r="Q47" i="42"/>
  <c r="O47" i="42"/>
  <c r="M47" i="42"/>
  <c r="K47" i="42"/>
  <c r="X46" i="42"/>
  <c r="W46" i="42"/>
  <c r="V46" i="42"/>
  <c r="U46" i="42"/>
  <c r="T46" i="42"/>
  <c r="S46" i="42"/>
  <c r="Q46" i="42"/>
  <c r="O46" i="42"/>
  <c r="M46" i="42"/>
  <c r="K46" i="42"/>
  <c r="X45" i="42"/>
  <c r="W45" i="42"/>
  <c r="V45" i="42"/>
  <c r="U45" i="42"/>
  <c r="T45" i="42"/>
  <c r="S45" i="42"/>
  <c r="Q45" i="42"/>
  <c r="O45" i="42"/>
  <c r="M45" i="42"/>
  <c r="K45" i="42"/>
  <c r="X44" i="42"/>
  <c r="W44" i="42"/>
  <c r="V44" i="42"/>
  <c r="U44" i="42"/>
  <c r="T44" i="42"/>
  <c r="S44" i="42"/>
  <c r="Q44" i="42"/>
  <c r="O44" i="42"/>
  <c r="M44" i="42"/>
  <c r="K44" i="42"/>
  <c r="X43" i="42"/>
  <c r="W43" i="42"/>
  <c r="V43" i="42"/>
  <c r="U43" i="42"/>
  <c r="T43" i="42"/>
  <c r="S43" i="42"/>
  <c r="Q43" i="42"/>
  <c r="O43" i="42"/>
  <c r="M43" i="42"/>
  <c r="K43" i="42"/>
  <c r="X42" i="42"/>
  <c r="W42" i="42"/>
  <c r="V42" i="42"/>
  <c r="U42" i="42"/>
  <c r="T42" i="42"/>
  <c r="S42" i="42"/>
  <c r="Q42" i="42"/>
  <c r="O42" i="42"/>
  <c r="M42" i="42"/>
  <c r="K42" i="42"/>
  <c r="X41" i="42"/>
  <c r="W41" i="42"/>
  <c r="V41" i="42"/>
  <c r="U41" i="42"/>
  <c r="T41" i="42"/>
  <c r="S41" i="42"/>
  <c r="Q41" i="42"/>
  <c r="O41" i="42"/>
  <c r="M41" i="42"/>
  <c r="K41" i="42"/>
  <c r="X40" i="42"/>
  <c r="W40" i="42"/>
  <c r="V40" i="42"/>
  <c r="U40" i="42"/>
  <c r="T40" i="42"/>
  <c r="S40" i="42"/>
  <c r="Q40" i="42"/>
  <c r="O40" i="42"/>
  <c r="M40" i="42"/>
  <c r="K40" i="42"/>
  <c r="X39" i="42"/>
  <c r="W39" i="42"/>
  <c r="V39" i="42"/>
  <c r="U39" i="42"/>
  <c r="T39" i="42"/>
  <c r="S39" i="42"/>
  <c r="Q39" i="42"/>
  <c r="O39" i="42"/>
  <c r="M39" i="42"/>
  <c r="K39" i="42"/>
  <c r="X38" i="42"/>
  <c r="W38" i="42"/>
  <c r="V38" i="42"/>
  <c r="U38" i="42"/>
  <c r="T38" i="42"/>
  <c r="S38" i="42"/>
  <c r="Q38" i="42"/>
  <c r="O38" i="42"/>
  <c r="M38" i="42"/>
  <c r="K38" i="42"/>
  <c r="X37" i="42"/>
  <c r="W37" i="42"/>
  <c r="V37" i="42"/>
  <c r="U37" i="42"/>
  <c r="T37" i="42"/>
  <c r="S37" i="42"/>
  <c r="Q37" i="42"/>
  <c r="O37" i="42"/>
  <c r="M37" i="42"/>
  <c r="K37" i="42"/>
  <c r="X36" i="42"/>
  <c r="W36" i="42"/>
  <c r="V36" i="42"/>
  <c r="U36" i="42"/>
  <c r="T36" i="42"/>
  <c r="S36" i="42"/>
  <c r="Q36" i="42"/>
  <c r="O36" i="42"/>
  <c r="M36" i="42"/>
  <c r="K36" i="42"/>
  <c r="X35" i="42"/>
  <c r="W35" i="42"/>
  <c r="V35" i="42"/>
  <c r="U35" i="42"/>
  <c r="T35" i="42"/>
  <c r="S35" i="42"/>
  <c r="Q35" i="42"/>
  <c r="O35" i="42"/>
  <c r="M35" i="42"/>
  <c r="K35" i="42"/>
  <c r="X34" i="42"/>
  <c r="W34" i="42"/>
  <c r="V34" i="42"/>
  <c r="U34" i="42"/>
  <c r="T34" i="42"/>
  <c r="S34" i="42"/>
  <c r="Q34" i="42"/>
  <c r="O34" i="42"/>
  <c r="M34" i="42"/>
  <c r="K34" i="42"/>
  <c r="X33" i="42"/>
  <c r="W33" i="42"/>
  <c r="V33" i="42"/>
  <c r="U33" i="42"/>
  <c r="T33" i="42"/>
  <c r="S33" i="42"/>
  <c r="Q33" i="42"/>
  <c r="O33" i="42"/>
  <c r="M33" i="42"/>
  <c r="K33" i="42"/>
  <c r="X32" i="42"/>
  <c r="W32" i="42"/>
  <c r="V32" i="42"/>
  <c r="U32" i="42"/>
  <c r="T32" i="42"/>
  <c r="S32" i="42"/>
  <c r="Q32" i="42"/>
  <c r="O32" i="42"/>
  <c r="M32" i="42"/>
  <c r="K32" i="42"/>
  <c r="X31" i="42"/>
  <c r="W31" i="42"/>
  <c r="V31" i="42"/>
  <c r="U31" i="42"/>
  <c r="T31" i="42"/>
  <c r="S31" i="42"/>
  <c r="Q31" i="42"/>
  <c r="O31" i="42"/>
  <c r="M31" i="42"/>
  <c r="K31" i="42"/>
  <c r="X30" i="42"/>
  <c r="W30" i="42"/>
  <c r="V30" i="42"/>
  <c r="U30" i="42"/>
  <c r="T30" i="42"/>
  <c r="S30" i="42"/>
  <c r="Q30" i="42"/>
  <c r="O30" i="42"/>
  <c r="M30" i="42"/>
  <c r="K30" i="42"/>
  <c r="X29" i="42"/>
  <c r="W29" i="42"/>
  <c r="V29" i="42"/>
  <c r="U29" i="42"/>
  <c r="T29" i="42"/>
  <c r="S29" i="42"/>
  <c r="Q29" i="42"/>
  <c r="O29" i="42"/>
  <c r="M29" i="42"/>
  <c r="K29" i="42"/>
  <c r="X28" i="42"/>
  <c r="W28" i="42"/>
  <c r="V28" i="42"/>
  <c r="U28" i="42"/>
  <c r="T28" i="42"/>
  <c r="S28" i="42"/>
  <c r="Q28" i="42"/>
  <c r="O28" i="42"/>
  <c r="M28" i="42"/>
  <c r="K28" i="42"/>
  <c r="X27" i="42"/>
  <c r="W27" i="42"/>
  <c r="V27" i="42"/>
  <c r="U27" i="42"/>
  <c r="T27" i="42"/>
  <c r="S27" i="42"/>
  <c r="Q27" i="42"/>
  <c r="O27" i="42"/>
  <c r="M27" i="42"/>
  <c r="K27" i="42"/>
  <c r="X26" i="42"/>
  <c r="W26" i="42"/>
  <c r="V26" i="42"/>
  <c r="U26" i="42"/>
  <c r="T26" i="42"/>
  <c r="S26" i="42"/>
  <c r="Q26" i="42"/>
  <c r="O26" i="42"/>
  <c r="M26" i="42"/>
  <c r="K26" i="42"/>
  <c r="X25" i="42"/>
  <c r="W25" i="42"/>
  <c r="V25" i="42"/>
  <c r="U25" i="42"/>
  <c r="T25" i="42"/>
  <c r="S25" i="42"/>
  <c r="Q25" i="42"/>
  <c r="O25" i="42"/>
  <c r="M25" i="42"/>
  <c r="K25" i="42"/>
  <c r="X24" i="42"/>
  <c r="W24" i="42"/>
  <c r="V24" i="42"/>
  <c r="U24" i="42"/>
  <c r="T24" i="42"/>
  <c r="S24" i="42"/>
  <c r="Q24" i="42"/>
  <c r="O24" i="42"/>
  <c r="M24" i="42"/>
  <c r="K24" i="42"/>
  <c r="X23" i="42"/>
  <c r="W23" i="42"/>
  <c r="V23" i="42"/>
  <c r="U23" i="42"/>
  <c r="T23" i="42"/>
  <c r="S23" i="42"/>
  <c r="Q23" i="42"/>
  <c r="O23" i="42"/>
  <c r="M23" i="42"/>
  <c r="K23" i="42"/>
  <c r="X22" i="42"/>
  <c r="W22" i="42"/>
  <c r="V22" i="42"/>
  <c r="U22" i="42"/>
  <c r="T22" i="42"/>
  <c r="S22" i="42"/>
  <c r="Q22" i="42"/>
  <c r="O22" i="42"/>
  <c r="M22" i="42"/>
  <c r="K22" i="42"/>
  <c r="X21" i="42"/>
  <c r="W21" i="42"/>
  <c r="V21" i="42"/>
  <c r="U21" i="42"/>
  <c r="T21" i="42"/>
  <c r="S21" i="42"/>
  <c r="Q21" i="42"/>
  <c r="O21" i="42"/>
  <c r="M21" i="42"/>
  <c r="K21" i="42"/>
  <c r="X20" i="42"/>
  <c r="W20" i="42"/>
  <c r="V20" i="42"/>
  <c r="U20" i="42"/>
  <c r="T20" i="42"/>
  <c r="S20" i="42"/>
  <c r="Q20" i="42"/>
  <c r="O20" i="42"/>
  <c r="M20" i="42"/>
  <c r="K20" i="42"/>
  <c r="X19" i="42"/>
  <c r="W19" i="42"/>
  <c r="V19" i="42"/>
  <c r="U19" i="42"/>
  <c r="T19" i="42"/>
  <c r="S19" i="42"/>
  <c r="Q19" i="42"/>
  <c r="O19" i="42"/>
  <c r="M19" i="42"/>
  <c r="K19" i="42"/>
  <c r="X18" i="42"/>
  <c r="W18" i="42"/>
  <c r="V18" i="42"/>
  <c r="U18" i="42"/>
  <c r="T18" i="42"/>
  <c r="S18" i="42"/>
  <c r="Q18" i="42"/>
  <c r="O18" i="42"/>
  <c r="M18" i="42"/>
  <c r="K18" i="42"/>
  <c r="X17" i="42"/>
  <c r="W17" i="42"/>
  <c r="V17" i="42"/>
  <c r="U17" i="42"/>
  <c r="T17" i="42"/>
  <c r="S17" i="42"/>
  <c r="Q17" i="42"/>
  <c r="O17" i="42"/>
  <c r="M17" i="42"/>
  <c r="K17" i="42"/>
  <c r="X16" i="42"/>
  <c r="W16" i="42"/>
  <c r="V16" i="42"/>
  <c r="U16" i="42"/>
  <c r="T16" i="42"/>
  <c r="S16" i="42"/>
  <c r="Q16" i="42"/>
  <c r="O16" i="42"/>
  <c r="M16" i="42"/>
  <c r="K16" i="42"/>
  <c r="X15" i="42"/>
  <c r="W15" i="42"/>
  <c r="V15" i="42"/>
  <c r="U15" i="42"/>
  <c r="T15" i="42"/>
  <c r="S15" i="42"/>
  <c r="Q15" i="42"/>
  <c r="O15" i="42"/>
  <c r="M15" i="42"/>
  <c r="K15" i="42"/>
  <c r="X14" i="42"/>
  <c r="W14" i="42"/>
  <c r="V14" i="42"/>
  <c r="U14" i="42"/>
  <c r="T14" i="42"/>
  <c r="S14" i="42"/>
  <c r="Q14" i="42"/>
  <c r="O14" i="42"/>
  <c r="M14" i="42"/>
  <c r="K14" i="42"/>
  <c r="X13" i="42"/>
  <c r="W13" i="42"/>
  <c r="V13" i="42"/>
  <c r="U13" i="42"/>
  <c r="T13" i="42"/>
  <c r="S13" i="42"/>
  <c r="Q13" i="42"/>
  <c r="O13" i="42"/>
  <c r="M13" i="42"/>
  <c r="K13" i="42"/>
  <c r="X12" i="42"/>
  <c r="W12" i="42"/>
  <c r="V12" i="42"/>
  <c r="U12" i="42"/>
  <c r="T12" i="42"/>
  <c r="S12" i="42"/>
  <c r="Q12" i="42"/>
  <c r="O12" i="42"/>
  <c r="M12" i="42"/>
  <c r="K12" i="42"/>
  <c r="X11" i="42"/>
  <c r="W11" i="42"/>
  <c r="V11" i="42"/>
  <c r="U11" i="42"/>
  <c r="T11" i="42"/>
  <c r="S11" i="42"/>
  <c r="Q11" i="42"/>
  <c r="O11" i="42"/>
  <c r="M11" i="42"/>
  <c r="K11" i="42"/>
  <c r="X10" i="42"/>
  <c r="W10" i="42"/>
  <c r="V10" i="42"/>
  <c r="U10" i="42"/>
  <c r="T10" i="42"/>
  <c r="S10" i="42"/>
  <c r="Q10" i="42"/>
  <c r="O10" i="42"/>
  <c r="M10" i="42"/>
  <c r="K10" i="42"/>
  <c r="X9" i="42"/>
  <c r="W9" i="42"/>
  <c r="V9" i="42"/>
  <c r="U9" i="42"/>
  <c r="T9" i="42"/>
  <c r="S9" i="42"/>
  <c r="Q9" i="42"/>
  <c r="O9" i="42"/>
  <c r="M9" i="42"/>
  <c r="K9" i="42"/>
  <c r="X8" i="42"/>
  <c r="W8" i="42"/>
  <c r="V8" i="42"/>
  <c r="U8" i="42"/>
  <c r="T8" i="42"/>
  <c r="S8" i="42"/>
  <c r="Q8" i="42"/>
  <c r="O8" i="42"/>
  <c r="M8" i="42"/>
  <c r="K8" i="42"/>
  <c r="X7" i="42"/>
  <c r="W7" i="42"/>
  <c r="V7" i="42"/>
  <c r="U7" i="42"/>
  <c r="T7" i="42"/>
  <c r="S7" i="42"/>
  <c r="Q7" i="42"/>
  <c r="O7" i="42"/>
  <c r="M7" i="42"/>
  <c r="K7" i="42"/>
  <c r="X361" i="41"/>
  <c r="W361" i="41"/>
  <c r="V361" i="41"/>
  <c r="U361" i="41"/>
  <c r="T361" i="41"/>
  <c r="S361" i="41"/>
  <c r="Q361" i="41"/>
  <c r="O361" i="41"/>
  <c r="M361" i="41"/>
  <c r="K361" i="41"/>
  <c r="X360" i="41"/>
  <c r="W360" i="41"/>
  <c r="V360" i="41"/>
  <c r="U360" i="41"/>
  <c r="T360" i="41"/>
  <c r="S360" i="41"/>
  <c r="Q360" i="41"/>
  <c r="O360" i="41"/>
  <c r="M360" i="41"/>
  <c r="K360" i="41"/>
  <c r="X359" i="41"/>
  <c r="W359" i="41"/>
  <c r="V359" i="41"/>
  <c r="U359" i="41"/>
  <c r="T359" i="41"/>
  <c r="S359" i="41"/>
  <c r="Q359" i="41"/>
  <c r="O359" i="41"/>
  <c r="M359" i="41"/>
  <c r="K359" i="41"/>
  <c r="X358" i="41"/>
  <c r="W358" i="41"/>
  <c r="V358" i="41"/>
  <c r="U358" i="41"/>
  <c r="T358" i="41"/>
  <c r="S358" i="41"/>
  <c r="Q358" i="41"/>
  <c r="O358" i="41"/>
  <c r="M358" i="41"/>
  <c r="K358" i="41"/>
  <c r="X357" i="41"/>
  <c r="W357" i="41"/>
  <c r="V357" i="41"/>
  <c r="U357" i="41"/>
  <c r="T357" i="41"/>
  <c r="S357" i="41"/>
  <c r="Q357" i="41"/>
  <c r="O357" i="41"/>
  <c r="M357" i="41"/>
  <c r="K357" i="41"/>
  <c r="X356" i="41"/>
  <c r="W356" i="41"/>
  <c r="V356" i="41"/>
  <c r="U356" i="41"/>
  <c r="T356" i="41"/>
  <c r="S356" i="41"/>
  <c r="Q356" i="41"/>
  <c r="O356" i="41"/>
  <c r="M356" i="41"/>
  <c r="K356" i="41"/>
  <c r="X355" i="41"/>
  <c r="W355" i="41"/>
  <c r="V355" i="41"/>
  <c r="U355" i="41"/>
  <c r="T355" i="41"/>
  <c r="S355" i="41"/>
  <c r="Q355" i="41"/>
  <c r="O355" i="41"/>
  <c r="M355" i="41"/>
  <c r="K355" i="41"/>
  <c r="X354" i="41"/>
  <c r="W354" i="41"/>
  <c r="V354" i="41"/>
  <c r="U354" i="41"/>
  <c r="T354" i="41"/>
  <c r="S354" i="41"/>
  <c r="Q354" i="41"/>
  <c r="O354" i="41"/>
  <c r="M354" i="41"/>
  <c r="K354" i="41"/>
  <c r="X353" i="41"/>
  <c r="W353" i="41"/>
  <c r="V353" i="41"/>
  <c r="U353" i="41"/>
  <c r="T353" i="41"/>
  <c r="S353" i="41"/>
  <c r="Q353" i="41"/>
  <c r="O353" i="41"/>
  <c r="M353" i="41"/>
  <c r="K353" i="41"/>
  <c r="X352" i="41"/>
  <c r="W352" i="41"/>
  <c r="V352" i="41"/>
  <c r="U352" i="41"/>
  <c r="T352" i="41"/>
  <c r="S352" i="41"/>
  <c r="Q352" i="41"/>
  <c r="O352" i="41"/>
  <c r="M352" i="41"/>
  <c r="K352" i="41"/>
  <c r="X351" i="41"/>
  <c r="W351" i="41"/>
  <c r="V351" i="41"/>
  <c r="U351" i="41"/>
  <c r="T351" i="41"/>
  <c r="S351" i="41"/>
  <c r="Q351" i="41"/>
  <c r="O351" i="41"/>
  <c r="M351" i="41"/>
  <c r="K351" i="41"/>
  <c r="X350" i="41"/>
  <c r="W350" i="41"/>
  <c r="V350" i="41"/>
  <c r="U350" i="41"/>
  <c r="T350" i="41"/>
  <c r="S350" i="41"/>
  <c r="Q350" i="41"/>
  <c r="O350" i="41"/>
  <c r="M350" i="41"/>
  <c r="K350" i="41"/>
  <c r="X349" i="41"/>
  <c r="W349" i="41"/>
  <c r="V349" i="41"/>
  <c r="U349" i="41"/>
  <c r="T349" i="41"/>
  <c r="S349" i="41"/>
  <c r="Q349" i="41"/>
  <c r="O349" i="41"/>
  <c r="M349" i="41"/>
  <c r="K349" i="41"/>
  <c r="X348" i="41"/>
  <c r="W348" i="41"/>
  <c r="V348" i="41"/>
  <c r="U348" i="41"/>
  <c r="T348" i="41"/>
  <c r="S348" i="41"/>
  <c r="Q348" i="41"/>
  <c r="O348" i="41"/>
  <c r="M348" i="41"/>
  <c r="K348" i="41"/>
  <c r="X347" i="41"/>
  <c r="W347" i="41"/>
  <c r="V347" i="41"/>
  <c r="U347" i="41"/>
  <c r="T347" i="41"/>
  <c r="S347" i="41"/>
  <c r="Q347" i="41"/>
  <c r="O347" i="41"/>
  <c r="M347" i="41"/>
  <c r="K347" i="41"/>
  <c r="X346" i="41"/>
  <c r="W346" i="41"/>
  <c r="V346" i="41"/>
  <c r="U346" i="41"/>
  <c r="T346" i="41"/>
  <c r="S346" i="41"/>
  <c r="Q346" i="41"/>
  <c r="O346" i="41"/>
  <c r="M346" i="41"/>
  <c r="K346" i="41"/>
  <c r="X345" i="41"/>
  <c r="W345" i="41"/>
  <c r="V345" i="41"/>
  <c r="U345" i="41"/>
  <c r="T345" i="41"/>
  <c r="S345" i="41"/>
  <c r="Q345" i="41"/>
  <c r="O345" i="41"/>
  <c r="M345" i="41"/>
  <c r="K345" i="41"/>
  <c r="X344" i="41"/>
  <c r="W344" i="41"/>
  <c r="V344" i="41"/>
  <c r="U344" i="41"/>
  <c r="T344" i="41"/>
  <c r="S344" i="41"/>
  <c r="Q344" i="41"/>
  <c r="O344" i="41"/>
  <c r="M344" i="41"/>
  <c r="K344" i="41"/>
  <c r="X343" i="41"/>
  <c r="W343" i="41"/>
  <c r="V343" i="41"/>
  <c r="U343" i="41"/>
  <c r="T343" i="41"/>
  <c r="S343" i="41"/>
  <c r="Q343" i="41"/>
  <c r="O343" i="41"/>
  <c r="M343" i="41"/>
  <c r="K343" i="41"/>
  <c r="X342" i="41"/>
  <c r="W342" i="41"/>
  <c r="V342" i="41"/>
  <c r="U342" i="41"/>
  <c r="T342" i="41"/>
  <c r="S342" i="41"/>
  <c r="Q342" i="41"/>
  <c r="O342" i="41"/>
  <c r="M342" i="41"/>
  <c r="K342" i="41"/>
  <c r="X341" i="41"/>
  <c r="W341" i="41"/>
  <c r="V341" i="41"/>
  <c r="U341" i="41"/>
  <c r="T341" i="41"/>
  <c r="S341" i="41"/>
  <c r="Q341" i="41"/>
  <c r="O341" i="41"/>
  <c r="M341" i="41"/>
  <c r="K341" i="41"/>
  <c r="X340" i="41"/>
  <c r="W340" i="41"/>
  <c r="V340" i="41"/>
  <c r="U340" i="41"/>
  <c r="T340" i="41"/>
  <c r="S340" i="41"/>
  <c r="Q340" i="41"/>
  <c r="O340" i="41"/>
  <c r="M340" i="41"/>
  <c r="K340" i="41"/>
  <c r="X339" i="41"/>
  <c r="W339" i="41"/>
  <c r="V339" i="41"/>
  <c r="U339" i="41"/>
  <c r="T339" i="41"/>
  <c r="S339" i="41"/>
  <c r="Q339" i="41"/>
  <c r="O339" i="41"/>
  <c r="M339" i="41"/>
  <c r="K339" i="41"/>
  <c r="X338" i="41"/>
  <c r="W338" i="41"/>
  <c r="V338" i="41"/>
  <c r="U338" i="41"/>
  <c r="T338" i="41"/>
  <c r="S338" i="41"/>
  <c r="Q338" i="41"/>
  <c r="O338" i="41"/>
  <c r="M338" i="41"/>
  <c r="K338" i="41"/>
  <c r="X337" i="41"/>
  <c r="W337" i="41"/>
  <c r="V337" i="41"/>
  <c r="U337" i="41"/>
  <c r="T337" i="41"/>
  <c r="S337" i="41"/>
  <c r="Q337" i="41"/>
  <c r="O337" i="41"/>
  <c r="M337" i="41"/>
  <c r="K337" i="41"/>
  <c r="X336" i="41"/>
  <c r="W336" i="41"/>
  <c r="V336" i="41"/>
  <c r="U336" i="41"/>
  <c r="T336" i="41"/>
  <c r="S336" i="41"/>
  <c r="Q336" i="41"/>
  <c r="O336" i="41"/>
  <c r="M336" i="41"/>
  <c r="K336" i="41"/>
  <c r="X335" i="41"/>
  <c r="W335" i="41"/>
  <c r="V335" i="41"/>
  <c r="U335" i="41"/>
  <c r="T335" i="41"/>
  <c r="S335" i="41"/>
  <c r="Q335" i="41"/>
  <c r="O335" i="41"/>
  <c r="M335" i="41"/>
  <c r="K335" i="41"/>
  <c r="X334" i="41"/>
  <c r="W334" i="41"/>
  <c r="V334" i="41"/>
  <c r="U334" i="41"/>
  <c r="T334" i="41"/>
  <c r="S334" i="41"/>
  <c r="Q334" i="41"/>
  <c r="O334" i="41"/>
  <c r="M334" i="41"/>
  <c r="K334" i="41"/>
  <c r="X333" i="41"/>
  <c r="W333" i="41"/>
  <c r="V333" i="41"/>
  <c r="U333" i="41"/>
  <c r="T333" i="41"/>
  <c r="S333" i="41"/>
  <c r="Q333" i="41"/>
  <c r="O333" i="41"/>
  <c r="M333" i="41"/>
  <c r="K333" i="41"/>
  <c r="X332" i="41"/>
  <c r="W332" i="41"/>
  <c r="V332" i="41"/>
  <c r="U332" i="41"/>
  <c r="T332" i="41"/>
  <c r="S332" i="41"/>
  <c r="Q332" i="41"/>
  <c r="O332" i="41"/>
  <c r="M332" i="41"/>
  <c r="K332" i="41"/>
  <c r="X331" i="41"/>
  <c r="W331" i="41"/>
  <c r="V331" i="41"/>
  <c r="U331" i="41"/>
  <c r="T331" i="41"/>
  <c r="S331" i="41"/>
  <c r="Q331" i="41"/>
  <c r="O331" i="41"/>
  <c r="M331" i="41"/>
  <c r="K331" i="41"/>
  <c r="X330" i="41"/>
  <c r="W330" i="41"/>
  <c r="V330" i="41"/>
  <c r="U330" i="41"/>
  <c r="T330" i="41"/>
  <c r="S330" i="41"/>
  <c r="Q330" i="41"/>
  <c r="O330" i="41"/>
  <c r="M330" i="41"/>
  <c r="K330" i="41"/>
  <c r="X329" i="41"/>
  <c r="W329" i="41"/>
  <c r="V329" i="41"/>
  <c r="U329" i="41"/>
  <c r="T329" i="41"/>
  <c r="S329" i="41"/>
  <c r="Q329" i="41"/>
  <c r="O329" i="41"/>
  <c r="M329" i="41"/>
  <c r="K329" i="41"/>
  <c r="X328" i="41"/>
  <c r="W328" i="41"/>
  <c r="V328" i="41"/>
  <c r="U328" i="41"/>
  <c r="T328" i="41"/>
  <c r="S328" i="41"/>
  <c r="Q328" i="41"/>
  <c r="O328" i="41"/>
  <c r="M328" i="41"/>
  <c r="K328" i="41"/>
  <c r="X327" i="41"/>
  <c r="W327" i="41"/>
  <c r="V327" i="41"/>
  <c r="U327" i="41"/>
  <c r="T327" i="41"/>
  <c r="S327" i="41"/>
  <c r="Q327" i="41"/>
  <c r="O327" i="41"/>
  <c r="M327" i="41"/>
  <c r="K327" i="41"/>
  <c r="X326" i="41"/>
  <c r="W326" i="41"/>
  <c r="V326" i="41"/>
  <c r="U326" i="41"/>
  <c r="T326" i="41"/>
  <c r="S326" i="41"/>
  <c r="Q326" i="41"/>
  <c r="O326" i="41"/>
  <c r="M326" i="41"/>
  <c r="K326" i="41"/>
  <c r="X325" i="41"/>
  <c r="W325" i="41"/>
  <c r="V325" i="41"/>
  <c r="U325" i="41"/>
  <c r="T325" i="41"/>
  <c r="S325" i="41"/>
  <c r="Q325" i="41"/>
  <c r="O325" i="41"/>
  <c r="M325" i="41"/>
  <c r="K325" i="41"/>
  <c r="X324" i="41"/>
  <c r="W324" i="41"/>
  <c r="V324" i="41"/>
  <c r="U324" i="41"/>
  <c r="T324" i="41"/>
  <c r="S324" i="41"/>
  <c r="Q324" i="41"/>
  <c r="O324" i="41"/>
  <c r="M324" i="41"/>
  <c r="K324" i="41"/>
  <c r="X323" i="41"/>
  <c r="W323" i="41"/>
  <c r="V323" i="41"/>
  <c r="U323" i="41"/>
  <c r="T323" i="41"/>
  <c r="S323" i="41"/>
  <c r="Q323" i="41"/>
  <c r="O323" i="41"/>
  <c r="M323" i="41"/>
  <c r="K323" i="41"/>
  <c r="X322" i="41"/>
  <c r="W322" i="41"/>
  <c r="V322" i="41"/>
  <c r="U322" i="41"/>
  <c r="T322" i="41"/>
  <c r="S322" i="41"/>
  <c r="Q322" i="41"/>
  <c r="O322" i="41"/>
  <c r="M322" i="41"/>
  <c r="K322" i="41"/>
  <c r="X321" i="41"/>
  <c r="W321" i="41"/>
  <c r="V321" i="41"/>
  <c r="U321" i="41"/>
  <c r="T321" i="41"/>
  <c r="S321" i="41"/>
  <c r="Q321" i="41"/>
  <c r="O321" i="41"/>
  <c r="M321" i="41"/>
  <c r="K321" i="41"/>
  <c r="X320" i="41"/>
  <c r="W320" i="41"/>
  <c r="V320" i="41"/>
  <c r="U320" i="41"/>
  <c r="T320" i="41"/>
  <c r="S320" i="41"/>
  <c r="Q320" i="41"/>
  <c r="O320" i="41"/>
  <c r="M320" i="41"/>
  <c r="K320" i="41"/>
  <c r="X319" i="41"/>
  <c r="W319" i="41"/>
  <c r="V319" i="41"/>
  <c r="U319" i="41"/>
  <c r="T319" i="41"/>
  <c r="S319" i="41"/>
  <c r="Q319" i="41"/>
  <c r="O319" i="41"/>
  <c r="M319" i="41"/>
  <c r="K319" i="41"/>
  <c r="X318" i="41"/>
  <c r="W318" i="41"/>
  <c r="V318" i="41"/>
  <c r="U318" i="41"/>
  <c r="T318" i="41"/>
  <c r="S318" i="41"/>
  <c r="Q318" i="41"/>
  <c r="O318" i="41"/>
  <c r="M318" i="41"/>
  <c r="K318" i="41"/>
  <c r="X317" i="41"/>
  <c r="W317" i="41"/>
  <c r="V317" i="41"/>
  <c r="U317" i="41"/>
  <c r="T317" i="41"/>
  <c r="S317" i="41"/>
  <c r="Q317" i="41"/>
  <c r="O317" i="41"/>
  <c r="M317" i="41"/>
  <c r="K317" i="41"/>
  <c r="X316" i="41"/>
  <c r="W316" i="41"/>
  <c r="V316" i="41"/>
  <c r="U316" i="41"/>
  <c r="T316" i="41"/>
  <c r="S316" i="41"/>
  <c r="Q316" i="41"/>
  <c r="O316" i="41"/>
  <c r="M316" i="41"/>
  <c r="K316" i="41"/>
  <c r="X315" i="41"/>
  <c r="W315" i="41"/>
  <c r="V315" i="41"/>
  <c r="U315" i="41"/>
  <c r="T315" i="41"/>
  <c r="S315" i="41"/>
  <c r="Q315" i="41"/>
  <c r="O315" i="41"/>
  <c r="M315" i="41"/>
  <c r="K315" i="41"/>
  <c r="X314" i="41"/>
  <c r="W314" i="41"/>
  <c r="V314" i="41"/>
  <c r="U314" i="41"/>
  <c r="T314" i="41"/>
  <c r="S314" i="41"/>
  <c r="Q314" i="41"/>
  <c r="O314" i="41"/>
  <c r="M314" i="41"/>
  <c r="K314" i="41"/>
  <c r="X313" i="41"/>
  <c r="W313" i="41"/>
  <c r="V313" i="41"/>
  <c r="U313" i="41"/>
  <c r="T313" i="41"/>
  <c r="S313" i="41"/>
  <c r="Q313" i="41"/>
  <c r="O313" i="41"/>
  <c r="M313" i="41"/>
  <c r="K313" i="41"/>
  <c r="X312" i="41"/>
  <c r="W312" i="41"/>
  <c r="V312" i="41"/>
  <c r="U312" i="41"/>
  <c r="T312" i="41"/>
  <c r="S312" i="41"/>
  <c r="Q312" i="41"/>
  <c r="O312" i="41"/>
  <c r="M312" i="41"/>
  <c r="K312" i="41"/>
  <c r="X311" i="41"/>
  <c r="W311" i="41"/>
  <c r="V311" i="41"/>
  <c r="U311" i="41"/>
  <c r="T311" i="41"/>
  <c r="S311" i="41"/>
  <c r="Q311" i="41"/>
  <c r="O311" i="41"/>
  <c r="M311" i="41"/>
  <c r="K311" i="41"/>
  <c r="X310" i="41"/>
  <c r="W310" i="41"/>
  <c r="V310" i="41"/>
  <c r="U310" i="41"/>
  <c r="T310" i="41"/>
  <c r="S310" i="41"/>
  <c r="Q310" i="41"/>
  <c r="O310" i="41"/>
  <c r="M310" i="41"/>
  <c r="K310" i="41"/>
  <c r="X309" i="41"/>
  <c r="W309" i="41"/>
  <c r="V309" i="41"/>
  <c r="U309" i="41"/>
  <c r="T309" i="41"/>
  <c r="S309" i="41"/>
  <c r="Q309" i="41"/>
  <c r="O309" i="41"/>
  <c r="M309" i="41"/>
  <c r="K309" i="41"/>
  <c r="X308" i="41"/>
  <c r="W308" i="41"/>
  <c r="V308" i="41"/>
  <c r="U308" i="41"/>
  <c r="T308" i="41"/>
  <c r="S308" i="41"/>
  <c r="Q308" i="41"/>
  <c r="O308" i="41"/>
  <c r="M308" i="41"/>
  <c r="K308" i="41"/>
  <c r="X307" i="41"/>
  <c r="W307" i="41"/>
  <c r="V307" i="41"/>
  <c r="U307" i="41"/>
  <c r="T307" i="41"/>
  <c r="S307" i="41"/>
  <c r="Q307" i="41"/>
  <c r="O307" i="41"/>
  <c r="M307" i="41"/>
  <c r="K307" i="41"/>
  <c r="X306" i="41"/>
  <c r="W306" i="41"/>
  <c r="V306" i="41"/>
  <c r="U306" i="41"/>
  <c r="T306" i="41"/>
  <c r="S306" i="41"/>
  <c r="Q306" i="41"/>
  <c r="O306" i="41"/>
  <c r="M306" i="41"/>
  <c r="K306" i="41"/>
  <c r="X305" i="41"/>
  <c r="W305" i="41"/>
  <c r="V305" i="41"/>
  <c r="U305" i="41"/>
  <c r="T305" i="41"/>
  <c r="S305" i="41"/>
  <c r="Q305" i="41"/>
  <c r="O305" i="41"/>
  <c r="M305" i="41"/>
  <c r="K305" i="41"/>
  <c r="X304" i="41"/>
  <c r="W304" i="41"/>
  <c r="V304" i="41"/>
  <c r="U304" i="41"/>
  <c r="T304" i="41"/>
  <c r="S304" i="41"/>
  <c r="Q304" i="41"/>
  <c r="O304" i="41"/>
  <c r="M304" i="41"/>
  <c r="K304" i="41"/>
  <c r="X303" i="41"/>
  <c r="W303" i="41"/>
  <c r="V303" i="41"/>
  <c r="U303" i="41"/>
  <c r="T303" i="41"/>
  <c r="S303" i="41"/>
  <c r="Q303" i="41"/>
  <c r="O303" i="41"/>
  <c r="M303" i="41"/>
  <c r="K303" i="41"/>
  <c r="X302" i="41"/>
  <c r="W302" i="41"/>
  <c r="V302" i="41"/>
  <c r="U302" i="41"/>
  <c r="T302" i="41"/>
  <c r="S302" i="41"/>
  <c r="Q302" i="41"/>
  <c r="O302" i="41"/>
  <c r="M302" i="41"/>
  <c r="K302" i="41"/>
  <c r="X301" i="41"/>
  <c r="W301" i="41"/>
  <c r="V301" i="41"/>
  <c r="U301" i="41"/>
  <c r="T301" i="41"/>
  <c r="S301" i="41"/>
  <c r="Q301" i="41"/>
  <c r="O301" i="41"/>
  <c r="M301" i="41"/>
  <c r="K301" i="41"/>
  <c r="X300" i="41"/>
  <c r="W300" i="41"/>
  <c r="V300" i="41"/>
  <c r="U300" i="41"/>
  <c r="T300" i="41"/>
  <c r="S300" i="41"/>
  <c r="Q300" i="41"/>
  <c r="O300" i="41"/>
  <c r="M300" i="41"/>
  <c r="K300" i="41"/>
  <c r="X299" i="41"/>
  <c r="W299" i="41"/>
  <c r="V299" i="41"/>
  <c r="U299" i="41"/>
  <c r="T299" i="41"/>
  <c r="S299" i="41"/>
  <c r="Q299" i="41"/>
  <c r="O299" i="41"/>
  <c r="M299" i="41"/>
  <c r="K299" i="41"/>
  <c r="X298" i="41"/>
  <c r="W298" i="41"/>
  <c r="V298" i="41"/>
  <c r="U298" i="41"/>
  <c r="T298" i="41"/>
  <c r="S298" i="41"/>
  <c r="Q298" i="41"/>
  <c r="O298" i="41"/>
  <c r="M298" i="41"/>
  <c r="K298" i="41"/>
  <c r="X297" i="41"/>
  <c r="W297" i="41"/>
  <c r="V297" i="41"/>
  <c r="U297" i="41"/>
  <c r="T297" i="41"/>
  <c r="S297" i="41"/>
  <c r="Q297" i="41"/>
  <c r="O297" i="41"/>
  <c r="M297" i="41"/>
  <c r="K297" i="41"/>
  <c r="X296" i="41"/>
  <c r="W296" i="41"/>
  <c r="V296" i="41"/>
  <c r="U296" i="41"/>
  <c r="T296" i="41"/>
  <c r="S296" i="41"/>
  <c r="Q296" i="41"/>
  <c r="O296" i="41"/>
  <c r="M296" i="41"/>
  <c r="K296" i="41"/>
  <c r="X295" i="41"/>
  <c r="W295" i="41"/>
  <c r="V295" i="41"/>
  <c r="U295" i="41"/>
  <c r="T295" i="41"/>
  <c r="S295" i="41"/>
  <c r="Q295" i="41"/>
  <c r="O295" i="41"/>
  <c r="M295" i="41"/>
  <c r="K295" i="41"/>
  <c r="X294" i="41"/>
  <c r="W294" i="41"/>
  <c r="V294" i="41"/>
  <c r="U294" i="41"/>
  <c r="T294" i="41"/>
  <c r="S294" i="41"/>
  <c r="Q294" i="41"/>
  <c r="O294" i="41"/>
  <c r="M294" i="41"/>
  <c r="K294" i="41"/>
  <c r="X293" i="41"/>
  <c r="W293" i="41"/>
  <c r="V293" i="41"/>
  <c r="U293" i="41"/>
  <c r="T293" i="41"/>
  <c r="S293" i="41"/>
  <c r="Q293" i="41"/>
  <c r="O293" i="41"/>
  <c r="M293" i="41"/>
  <c r="K293" i="41"/>
  <c r="X292" i="41"/>
  <c r="W292" i="41"/>
  <c r="V292" i="41"/>
  <c r="U292" i="41"/>
  <c r="T292" i="41"/>
  <c r="S292" i="41"/>
  <c r="Q292" i="41"/>
  <c r="O292" i="41"/>
  <c r="M292" i="41"/>
  <c r="K292" i="41"/>
  <c r="X291" i="41"/>
  <c r="W291" i="41"/>
  <c r="V291" i="41"/>
  <c r="U291" i="41"/>
  <c r="T291" i="41"/>
  <c r="S291" i="41"/>
  <c r="Q291" i="41"/>
  <c r="O291" i="41"/>
  <c r="M291" i="41"/>
  <c r="K291" i="41"/>
  <c r="X290" i="41"/>
  <c r="W290" i="41"/>
  <c r="V290" i="41"/>
  <c r="U290" i="41"/>
  <c r="T290" i="41"/>
  <c r="S290" i="41"/>
  <c r="Q290" i="41"/>
  <c r="O290" i="41"/>
  <c r="M290" i="41"/>
  <c r="K290" i="41"/>
  <c r="X289" i="41"/>
  <c r="W289" i="41"/>
  <c r="V289" i="41"/>
  <c r="U289" i="41"/>
  <c r="T289" i="41"/>
  <c r="S289" i="41"/>
  <c r="Q289" i="41"/>
  <c r="O289" i="41"/>
  <c r="M289" i="41"/>
  <c r="K289" i="41"/>
  <c r="X288" i="41"/>
  <c r="W288" i="41"/>
  <c r="V288" i="41"/>
  <c r="U288" i="41"/>
  <c r="T288" i="41"/>
  <c r="S288" i="41"/>
  <c r="Q288" i="41"/>
  <c r="O288" i="41"/>
  <c r="M288" i="41"/>
  <c r="K288" i="41"/>
  <c r="X287" i="41"/>
  <c r="W287" i="41"/>
  <c r="V287" i="41"/>
  <c r="U287" i="41"/>
  <c r="T287" i="41"/>
  <c r="S287" i="41"/>
  <c r="Q287" i="41"/>
  <c r="O287" i="41"/>
  <c r="M287" i="41"/>
  <c r="K287" i="41"/>
  <c r="X286" i="41"/>
  <c r="W286" i="41"/>
  <c r="V286" i="41"/>
  <c r="U286" i="41"/>
  <c r="T286" i="41"/>
  <c r="S286" i="41"/>
  <c r="Q286" i="41"/>
  <c r="O286" i="41"/>
  <c r="M286" i="41"/>
  <c r="K286" i="41"/>
  <c r="X285" i="41"/>
  <c r="W285" i="41"/>
  <c r="V285" i="41"/>
  <c r="U285" i="41"/>
  <c r="T285" i="41"/>
  <c r="S285" i="41"/>
  <c r="Q285" i="41"/>
  <c r="O285" i="41"/>
  <c r="M285" i="41"/>
  <c r="K285" i="41"/>
  <c r="X284" i="41"/>
  <c r="W284" i="41"/>
  <c r="V284" i="41"/>
  <c r="U284" i="41"/>
  <c r="T284" i="41"/>
  <c r="S284" i="41"/>
  <c r="Q284" i="41"/>
  <c r="O284" i="41"/>
  <c r="M284" i="41"/>
  <c r="K284" i="41"/>
  <c r="X283" i="41"/>
  <c r="W283" i="41"/>
  <c r="V283" i="41"/>
  <c r="U283" i="41"/>
  <c r="T283" i="41"/>
  <c r="S283" i="41"/>
  <c r="Q283" i="41"/>
  <c r="O283" i="41"/>
  <c r="M283" i="41"/>
  <c r="K283" i="41"/>
  <c r="X282" i="41"/>
  <c r="W282" i="41"/>
  <c r="V282" i="41"/>
  <c r="U282" i="41"/>
  <c r="T282" i="41"/>
  <c r="S282" i="41"/>
  <c r="Q282" i="41"/>
  <c r="O282" i="41"/>
  <c r="M282" i="41"/>
  <c r="K282" i="41"/>
  <c r="X281" i="41"/>
  <c r="W281" i="41"/>
  <c r="V281" i="41"/>
  <c r="U281" i="41"/>
  <c r="T281" i="41"/>
  <c r="S281" i="41"/>
  <c r="Q281" i="41"/>
  <c r="O281" i="41"/>
  <c r="M281" i="41"/>
  <c r="K281" i="41"/>
  <c r="X280" i="41"/>
  <c r="W280" i="41"/>
  <c r="V280" i="41"/>
  <c r="U280" i="41"/>
  <c r="T280" i="41"/>
  <c r="S280" i="41"/>
  <c r="Q280" i="41"/>
  <c r="O280" i="41"/>
  <c r="M280" i="41"/>
  <c r="K280" i="41"/>
  <c r="X279" i="41"/>
  <c r="W279" i="41"/>
  <c r="V279" i="41"/>
  <c r="U279" i="41"/>
  <c r="T279" i="41"/>
  <c r="S279" i="41"/>
  <c r="Q279" i="41"/>
  <c r="O279" i="41"/>
  <c r="M279" i="41"/>
  <c r="K279" i="41"/>
  <c r="X278" i="41"/>
  <c r="W278" i="41"/>
  <c r="V278" i="41"/>
  <c r="U278" i="41"/>
  <c r="T278" i="41"/>
  <c r="S278" i="41"/>
  <c r="Q278" i="41"/>
  <c r="O278" i="41"/>
  <c r="M278" i="41"/>
  <c r="K278" i="41"/>
  <c r="X277" i="41"/>
  <c r="W277" i="41"/>
  <c r="V277" i="41"/>
  <c r="U277" i="41"/>
  <c r="T277" i="41"/>
  <c r="S277" i="41"/>
  <c r="Q277" i="41"/>
  <c r="O277" i="41"/>
  <c r="M277" i="41"/>
  <c r="K277" i="41"/>
  <c r="X276" i="41"/>
  <c r="W276" i="41"/>
  <c r="V276" i="41"/>
  <c r="U276" i="41"/>
  <c r="T276" i="41"/>
  <c r="S276" i="41"/>
  <c r="Q276" i="41"/>
  <c r="O276" i="41"/>
  <c r="M276" i="41"/>
  <c r="K276" i="41"/>
  <c r="X275" i="41"/>
  <c r="W275" i="41"/>
  <c r="V275" i="41"/>
  <c r="U275" i="41"/>
  <c r="T275" i="41"/>
  <c r="S275" i="41"/>
  <c r="Q275" i="41"/>
  <c r="O275" i="41"/>
  <c r="M275" i="41"/>
  <c r="K275" i="41"/>
  <c r="X274" i="41"/>
  <c r="W274" i="41"/>
  <c r="V274" i="41"/>
  <c r="U274" i="41"/>
  <c r="T274" i="41"/>
  <c r="S274" i="41"/>
  <c r="Q274" i="41"/>
  <c r="O274" i="41"/>
  <c r="M274" i="41"/>
  <c r="K274" i="41"/>
  <c r="X273" i="41"/>
  <c r="W273" i="41"/>
  <c r="V273" i="41"/>
  <c r="U273" i="41"/>
  <c r="T273" i="41"/>
  <c r="S273" i="41"/>
  <c r="Q273" i="41"/>
  <c r="O273" i="41"/>
  <c r="M273" i="41"/>
  <c r="K273" i="41"/>
  <c r="X272" i="41"/>
  <c r="W272" i="41"/>
  <c r="V272" i="41"/>
  <c r="U272" i="41"/>
  <c r="T272" i="41"/>
  <c r="S272" i="41"/>
  <c r="Q272" i="41"/>
  <c r="O272" i="41"/>
  <c r="M272" i="41"/>
  <c r="K272" i="41"/>
  <c r="X271" i="41"/>
  <c r="W271" i="41"/>
  <c r="V271" i="41"/>
  <c r="U271" i="41"/>
  <c r="T271" i="41"/>
  <c r="S271" i="41"/>
  <c r="Q271" i="41"/>
  <c r="O271" i="41"/>
  <c r="M271" i="41"/>
  <c r="K271" i="41"/>
  <c r="X270" i="41"/>
  <c r="W270" i="41"/>
  <c r="V270" i="41"/>
  <c r="U270" i="41"/>
  <c r="T270" i="41"/>
  <c r="S270" i="41"/>
  <c r="Q270" i="41"/>
  <c r="O270" i="41"/>
  <c r="M270" i="41"/>
  <c r="K270" i="41"/>
  <c r="X269" i="41"/>
  <c r="W269" i="41"/>
  <c r="V269" i="41"/>
  <c r="U269" i="41"/>
  <c r="T269" i="41"/>
  <c r="S269" i="41"/>
  <c r="Q269" i="41"/>
  <c r="O269" i="41"/>
  <c r="M269" i="41"/>
  <c r="K269" i="41"/>
  <c r="X268" i="41"/>
  <c r="W268" i="41"/>
  <c r="V268" i="41"/>
  <c r="U268" i="41"/>
  <c r="T268" i="41"/>
  <c r="S268" i="41"/>
  <c r="Q268" i="41"/>
  <c r="O268" i="41"/>
  <c r="M268" i="41"/>
  <c r="K268" i="41"/>
  <c r="X267" i="41"/>
  <c r="W267" i="41"/>
  <c r="V267" i="41"/>
  <c r="U267" i="41"/>
  <c r="T267" i="41"/>
  <c r="S267" i="41"/>
  <c r="Q267" i="41"/>
  <c r="O267" i="41"/>
  <c r="M267" i="41"/>
  <c r="K267" i="41"/>
  <c r="X266" i="41"/>
  <c r="W266" i="41"/>
  <c r="V266" i="41"/>
  <c r="U266" i="41"/>
  <c r="T266" i="41"/>
  <c r="S266" i="41"/>
  <c r="Q266" i="41"/>
  <c r="O266" i="41"/>
  <c r="M266" i="41"/>
  <c r="K266" i="41"/>
  <c r="X265" i="41"/>
  <c r="W265" i="41"/>
  <c r="V265" i="41"/>
  <c r="U265" i="41"/>
  <c r="T265" i="41"/>
  <c r="S265" i="41"/>
  <c r="Q265" i="41"/>
  <c r="O265" i="41"/>
  <c r="M265" i="41"/>
  <c r="K265" i="41"/>
  <c r="X264" i="41"/>
  <c r="W264" i="41"/>
  <c r="V264" i="41"/>
  <c r="U264" i="41"/>
  <c r="T264" i="41"/>
  <c r="S264" i="41"/>
  <c r="Q264" i="41"/>
  <c r="O264" i="41"/>
  <c r="M264" i="41"/>
  <c r="K264" i="41"/>
  <c r="X263" i="41"/>
  <c r="W263" i="41"/>
  <c r="V263" i="41"/>
  <c r="U263" i="41"/>
  <c r="T263" i="41"/>
  <c r="S263" i="41"/>
  <c r="Q263" i="41"/>
  <c r="O263" i="41"/>
  <c r="M263" i="41"/>
  <c r="K263" i="41"/>
  <c r="X262" i="41"/>
  <c r="W262" i="41"/>
  <c r="V262" i="41"/>
  <c r="U262" i="41"/>
  <c r="T262" i="41"/>
  <c r="S262" i="41"/>
  <c r="Q262" i="41"/>
  <c r="O262" i="41"/>
  <c r="M262" i="41"/>
  <c r="K262" i="41"/>
  <c r="X261" i="41"/>
  <c r="W261" i="41"/>
  <c r="V261" i="41"/>
  <c r="U261" i="41"/>
  <c r="T261" i="41"/>
  <c r="S261" i="41"/>
  <c r="Q261" i="41"/>
  <c r="O261" i="41"/>
  <c r="M261" i="41"/>
  <c r="K261" i="41"/>
  <c r="X260" i="41"/>
  <c r="W260" i="41"/>
  <c r="V260" i="41"/>
  <c r="U260" i="41"/>
  <c r="T260" i="41"/>
  <c r="S260" i="41"/>
  <c r="Q260" i="41"/>
  <c r="O260" i="41"/>
  <c r="M260" i="41"/>
  <c r="K260" i="41"/>
  <c r="X259" i="41"/>
  <c r="W259" i="41"/>
  <c r="V259" i="41"/>
  <c r="U259" i="41"/>
  <c r="T259" i="41"/>
  <c r="S259" i="41"/>
  <c r="Q259" i="41"/>
  <c r="O259" i="41"/>
  <c r="M259" i="41"/>
  <c r="K259" i="41"/>
  <c r="X258" i="41"/>
  <c r="W258" i="41"/>
  <c r="V258" i="41"/>
  <c r="U258" i="41"/>
  <c r="T258" i="41"/>
  <c r="S258" i="41"/>
  <c r="Q258" i="41"/>
  <c r="O258" i="41"/>
  <c r="M258" i="41"/>
  <c r="K258" i="41"/>
  <c r="X257" i="41"/>
  <c r="W257" i="41"/>
  <c r="V257" i="41"/>
  <c r="U257" i="41"/>
  <c r="T257" i="41"/>
  <c r="S257" i="41"/>
  <c r="Q257" i="41"/>
  <c r="O257" i="41"/>
  <c r="M257" i="41"/>
  <c r="K257" i="41"/>
  <c r="X256" i="41"/>
  <c r="W256" i="41"/>
  <c r="V256" i="41"/>
  <c r="U256" i="41"/>
  <c r="T256" i="41"/>
  <c r="S256" i="41"/>
  <c r="Q256" i="41"/>
  <c r="O256" i="41"/>
  <c r="M256" i="41"/>
  <c r="K256" i="41"/>
  <c r="X255" i="41"/>
  <c r="W255" i="41"/>
  <c r="V255" i="41"/>
  <c r="U255" i="41"/>
  <c r="T255" i="41"/>
  <c r="S255" i="41"/>
  <c r="Q255" i="41"/>
  <c r="O255" i="41"/>
  <c r="M255" i="41"/>
  <c r="K255" i="41"/>
  <c r="X254" i="41"/>
  <c r="W254" i="41"/>
  <c r="V254" i="41"/>
  <c r="U254" i="41"/>
  <c r="T254" i="41"/>
  <c r="S254" i="41"/>
  <c r="Q254" i="41"/>
  <c r="O254" i="41"/>
  <c r="M254" i="41"/>
  <c r="K254" i="41"/>
  <c r="X253" i="41"/>
  <c r="W253" i="41"/>
  <c r="V253" i="41"/>
  <c r="U253" i="41"/>
  <c r="T253" i="41"/>
  <c r="S253" i="41"/>
  <c r="Q253" i="41"/>
  <c r="O253" i="41"/>
  <c r="M253" i="41"/>
  <c r="K253" i="41"/>
  <c r="X252" i="41"/>
  <c r="W252" i="41"/>
  <c r="V252" i="41"/>
  <c r="U252" i="41"/>
  <c r="T252" i="41"/>
  <c r="S252" i="41"/>
  <c r="Q252" i="41"/>
  <c r="O252" i="41"/>
  <c r="M252" i="41"/>
  <c r="K252" i="41"/>
  <c r="X251" i="41"/>
  <c r="W251" i="41"/>
  <c r="V251" i="41"/>
  <c r="U251" i="41"/>
  <c r="T251" i="41"/>
  <c r="S251" i="41"/>
  <c r="Q251" i="41"/>
  <c r="O251" i="41"/>
  <c r="M251" i="41"/>
  <c r="K251" i="41"/>
  <c r="X250" i="41"/>
  <c r="W250" i="41"/>
  <c r="V250" i="41"/>
  <c r="U250" i="41"/>
  <c r="T250" i="41"/>
  <c r="S250" i="41"/>
  <c r="Q250" i="41"/>
  <c r="O250" i="41"/>
  <c r="M250" i="41"/>
  <c r="K250" i="41"/>
  <c r="X249" i="41"/>
  <c r="W249" i="41"/>
  <c r="V249" i="41"/>
  <c r="U249" i="41"/>
  <c r="T249" i="41"/>
  <c r="S249" i="41"/>
  <c r="Q249" i="41"/>
  <c r="O249" i="41"/>
  <c r="M249" i="41"/>
  <c r="K249" i="41"/>
  <c r="X248" i="41"/>
  <c r="W248" i="41"/>
  <c r="V248" i="41"/>
  <c r="U248" i="41"/>
  <c r="T248" i="41"/>
  <c r="S248" i="41"/>
  <c r="Q248" i="41"/>
  <c r="O248" i="41"/>
  <c r="M248" i="41"/>
  <c r="K248" i="41"/>
  <c r="X247" i="41"/>
  <c r="W247" i="41"/>
  <c r="V247" i="41"/>
  <c r="U247" i="41"/>
  <c r="T247" i="41"/>
  <c r="S247" i="41"/>
  <c r="Q247" i="41"/>
  <c r="O247" i="41"/>
  <c r="M247" i="41"/>
  <c r="K247" i="41"/>
  <c r="X246" i="41"/>
  <c r="W246" i="41"/>
  <c r="V246" i="41"/>
  <c r="U246" i="41"/>
  <c r="T246" i="41"/>
  <c r="S246" i="41"/>
  <c r="Q246" i="41"/>
  <c r="O246" i="41"/>
  <c r="M246" i="41"/>
  <c r="K246" i="41"/>
  <c r="X245" i="41"/>
  <c r="W245" i="41"/>
  <c r="V245" i="41"/>
  <c r="U245" i="41"/>
  <c r="T245" i="41"/>
  <c r="S245" i="41"/>
  <c r="Q245" i="41"/>
  <c r="O245" i="41"/>
  <c r="M245" i="41"/>
  <c r="K245" i="41"/>
  <c r="X244" i="41"/>
  <c r="W244" i="41"/>
  <c r="V244" i="41"/>
  <c r="U244" i="41"/>
  <c r="T244" i="41"/>
  <c r="S244" i="41"/>
  <c r="Q244" i="41"/>
  <c r="O244" i="41"/>
  <c r="M244" i="41"/>
  <c r="K244" i="41"/>
  <c r="X243" i="41"/>
  <c r="W243" i="41"/>
  <c r="V243" i="41"/>
  <c r="U243" i="41"/>
  <c r="T243" i="41"/>
  <c r="S243" i="41"/>
  <c r="Q243" i="41"/>
  <c r="O243" i="41"/>
  <c r="M243" i="41"/>
  <c r="K243" i="41"/>
  <c r="X242" i="41"/>
  <c r="W242" i="41"/>
  <c r="V242" i="41"/>
  <c r="U242" i="41"/>
  <c r="T242" i="41"/>
  <c r="S242" i="41"/>
  <c r="Q242" i="41"/>
  <c r="O242" i="41"/>
  <c r="M242" i="41"/>
  <c r="K242" i="41"/>
  <c r="X241" i="41"/>
  <c r="W241" i="41"/>
  <c r="V241" i="41"/>
  <c r="U241" i="41"/>
  <c r="T241" i="41"/>
  <c r="S241" i="41"/>
  <c r="Q241" i="41"/>
  <c r="O241" i="41"/>
  <c r="M241" i="41"/>
  <c r="K241" i="41"/>
  <c r="X240" i="41"/>
  <c r="W240" i="41"/>
  <c r="V240" i="41"/>
  <c r="U240" i="41"/>
  <c r="T240" i="41"/>
  <c r="S240" i="41"/>
  <c r="Q240" i="41"/>
  <c r="O240" i="41"/>
  <c r="M240" i="41"/>
  <c r="K240" i="41"/>
  <c r="X239" i="41"/>
  <c r="W239" i="41"/>
  <c r="V239" i="41"/>
  <c r="U239" i="41"/>
  <c r="T239" i="41"/>
  <c r="S239" i="41"/>
  <c r="Q239" i="41"/>
  <c r="O239" i="41"/>
  <c r="M239" i="41"/>
  <c r="K239" i="41"/>
  <c r="X238" i="41"/>
  <c r="W238" i="41"/>
  <c r="V238" i="41"/>
  <c r="U238" i="41"/>
  <c r="T238" i="41"/>
  <c r="S238" i="41"/>
  <c r="Q238" i="41"/>
  <c r="O238" i="41"/>
  <c r="M238" i="41"/>
  <c r="K238" i="41"/>
  <c r="X237" i="41"/>
  <c r="W237" i="41"/>
  <c r="V237" i="41"/>
  <c r="U237" i="41"/>
  <c r="T237" i="41"/>
  <c r="S237" i="41"/>
  <c r="Q237" i="41"/>
  <c r="O237" i="41"/>
  <c r="M237" i="41"/>
  <c r="K237" i="41"/>
  <c r="X236" i="41"/>
  <c r="W236" i="41"/>
  <c r="V236" i="41"/>
  <c r="U236" i="41"/>
  <c r="T236" i="41"/>
  <c r="S236" i="41"/>
  <c r="Q236" i="41"/>
  <c r="O236" i="41"/>
  <c r="M236" i="41"/>
  <c r="K236" i="41"/>
  <c r="X235" i="41"/>
  <c r="W235" i="41"/>
  <c r="V235" i="41"/>
  <c r="U235" i="41"/>
  <c r="T235" i="41"/>
  <c r="S235" i="41"/>
  <c r="Q235" i="41"/>
  <c r="O235" i="41"/>
  <c r="M235" i="41"/>
  <c r="K235" i="41"/>
  <c r="X234" i="41"/>
  <c r="W234" i="41"/>
  <c r="V234" i="41"/>
  <c r="U234" i="41"/>
  <c r="T234" i="41"/>
  <c r="S234" i="41"/>
  <c r="Q234" i="41"/>
  <c r="O234" i="41"/>
  <c r="M234" i="41"/>
  <c r="K234" i="41"/>
  <c r="X233" i="41"/>
  <c r="W233" i="41"/>
  <c r="V233" i="41"/>
  <c r="U233" i="41"/>
  <c r="T233" i="41"/>
  <c r="S233" i="41"/>
  <c r="Q233" i="41"/>
  <c r="O233" i="41"/>
  <c r="M233" i="41"/>
  <c r="K233" i="41"/>
  <c r="X232" i="41"/>
  <c r="W232" i="41"/>
  <c r="V232" i="41"/>
  <c r="U232" i="41"/>
  <c r="T232" i="41"/>
  <c r="S232" i="41"/>
  <c r="Q232" i="41"/>
  <c r="O232" i="41"/>
  <c r="M232" i="41"/>
  <c r="K232" i="41"/>
  <c r="X231" i="41"/>
  <c r="W231" i="41"/>
  <c r="V231" i="41"/>
  <c r="U231" i="41"/>
  <c r="T231" i="41"/>
  <c r="S231" i="41"/>
  <c r="Q231" i="41"/>
  <c r="O231" i="41"/>
  <c r="M231" i="41"/>
  <c r="K231" i="41"/>
  <c r="X230" i="41"/>
  <c r="W230" i="41"/>
  <c r="V230" i="41"/>
  <c r="U230" i="41"/>
  <c r="T230" i="41"/>
  <c r="S230" i="41"/>
  <c r="Q230" i="41"/>
  <c r="O230" i="41"/>
  <c r="M230" i="41"/>
  <c r="K230" i="41"/>
  <c r="X229" i="41"/>
  <c r="W229" i="41"/>
  <c r="V229" i="41"/>
  <c r="U229" i="41"/>
  <c r="T229" i="41"/>
  <c r="S229" i="41"/>
  <c r="Q229" i="41"/>
  <c r="O229" i="41"/>
  <c r="M229" i="41"/>
  <c r="K229" i="41"/>
  <c r="X228" i="41"/>
  <c r="W228" i="41"/>
  <c r="V228" i="41"/>
  <c r="U228" i="41"/>
  <c r="T228" i="41"/>
  <c r="S228" i="41"/>
  <c r="Q228" i="41"/>
  <c r="O228" i="41"/>
  <c r="M228" i="41"/>
  <c r="K228" i="41"/>
  <c r="X227" i="41"/>
  <c r="W227" i="41"/>
  <c r="V227" i="41"/>
  <c r="U227" i="41"/>
  <c r="T227" i="41"/>
  <c r="S227" i="41"/>
  <c r="Q227" i="41"/>
  <c r="O227" i="41"/>
  <c r="M227" i="41"/>
  <c r="K227" i="41"/>
  <c r="X226" i="41"/>
  <c r="W226" i="41"/>
  <c r="V226" i="41"/>
  <c r="U226" i="41"/>
  <c r="T226" i="41"/>
  <c r="S226" i="41"/>
  <c r="Q226" i="41"/>
  <c r="O226" i="41"/>
  <c r="M226" i="41"/>
  <c r="K226" i="41"/>
  <c r="X225" i="41"/>
  <c r="W225" i="41"/>
  <c r="V225" i="41"/>
  <c r="U225" i="41"/>
  <c r="T225" i="41"/>
  <c r="S225" i="41"/>
  <c r="Q225" i="41"/>
  <c r="O225" i="41"/>
  <c r="M225" i="41"/>
  <c r="K225" i="41"/>
  <c r="X224" i="41"/>
  <c r="W224" i="41"/>
  <c r="V224" i="41"/>
  <c r="U224" i="41"/>
  <c r="T224" i="41"/>
  <c r="S224" i="41"/>
  <c r="Q224" i="41"/>
  <c r="O224" i="41"/>
  <c r="M224" i="41"/>
  <c r="K224" i="41"/>
  <c r="X223" i="41"/>
  <c r="W223" i="41"/>
  <c r="V223" i="41"/>
  <c r="U223" i="41"/>
  <c r="T223" i="41"/>
  <c r="S223" i="41"/>
  <c r="Q223" i="41"/>
  <c r="O223" i="41"/>
  <c r="M223" i="41"/>
  <c r="K223" i="41"/>
  <c r="X222" i="41"/>
  <c r="W222" i="41"/>
  <c r="V222" i="41"/>
  <c r="U222" i="41"/>
  <c r="T222" i="41"/>
  <c r="S222" i="41"/>
  <c r="Q222" i="41"/>
  <c r="O222" i="41"/>
  <c r="M222" i="41"/>
  <c r="K222" i="41"/>
  <c r="X221" i="41"/>
  <c r="W221" i="41"/>
  <c r="V221" i="41"/>
  <c r="U221" i="41"/>
  <c r="T221" i="41"/>
  <c r="S221" i="41"/>
  <c r="Q221" i="41"/>
  <c r="O221" i="41"/>
  <c r="M221" i="41"/>
  <c r="K221" i="41"/>
  <c r="X220" i="41"/>
  <c r="W220" i="41"/>
  <c r="V220" i="41"/>
  <c r="U220" i="41"/>
  <c r="T220" i="41"/>
  <c r="S220" i="41"/>
  <c r="Q220" i="41"/>
  <c r="O220" i="41"/>
  <c r="M220" i="41"/>
  <c r="K220" i="41"/>
  <c r="X219" i="41"/>
  <c r="W219" i="41"/>
  <c r="V219" i="41"/>
  <c r="U219" i="41"/>
  <c r="T219" i="41"/>
  <c r="S219" i="41"/>
  <c r="Q219" i="41"/>
  <c r="O219" i="41"/>
  <c r="M219" i="41"/>
  <c r="K219" i="41"/>
  <c r="X218" i="41"/>
  <c r="W218" i="41"/>
  <c r="V218" i="41"/>
  <c r="U218" i="41"/>
  <c r="T218" i="41"/>
  <c r="S218" i="41"/>
  <c r="Q218" i="41"/>
  <c r="O218" i="41"/>
  <c r="M218" i="41"/>
  <c r="K218" i="41"/>
  <c r="X217" i="41"/>
  <c r="W217" i="41"/>
  <c r="V217" i="41"/>
  <c r="U217" i="41"/>
  <c r="T217" i="41"/>
  <c r="S217" i="41"/>
  <c r="Q217" i="41"/>
  <c r="O217" i="41"/>
  <c r="M217" i="41"/>
  <c r="K217" i="41"/>
  <c r="X216" i="41"/>
  <c r="W216" i="41"/>
  <c r="V216" i="41"/>
  <c r="U216" i="41"/>
  <c r="T216" i="41"/>
  <c r="S216" i="41"/>
  <c r="Q216" i="41"/>
  <c r="O216" i="41"/>
  <c r="M216" i="41"/>
  <c r="K216" i="41"/>
  <c r="X215" i="41"/>
  <c r="W215" i="41"/>
  <c r="V215" i="41"/>
  <c r="U215" i="41"/>
  <c r="T215" i="41"/>
  <c r="S215" i="41"/>
  <c r="Q215" i="41"/>
  <c r="O215" i="41"/>
  <c r="M215" i="41"/>
  <c r="K215" i="41"/>
  <c r="X214" i="41"/>
  <c r="W214" i="41"/>
  <c r="V214" i="41"/>
  <c r="U214" i="41"/>
  <c r="T214" i="41"/>
  <c r="S214" i="41"/>
  <c r="Q214" i="41"/>
  <c r="O214" i="41"/>
  <c r="M214" i="41"/>
  <c r="K214" i="41"/>
  <c r="X213" i="41"/>
  <c r="W213" i="41"/>
  <c r="V213" i="41"/>
  <c r="U213" i="41"/>
  <c r="T213" i="41"/>
  <c r="S213" i="41"/>
  <c r="Q213" i="41"/>
  <c r="O213" i="41"/>
  <c r="M213" i="41"/>
  <c r="K213" i="41"/>
  <c r="X212" i="41"/>
  <c r="W212" i="41"/>
  <c r="V212" i="41"/>
  <c r="U212" i="41"/>
  <c r="T212" i="41"/>
  <c r="S212" i="41"/>
  <c r="Q212" i="41"/>
  <c r="O212" i="41"/>
  <c r="M212" i="41"/>
  <c r="K212" i="41"/>
  <c r="X211" i="41"/>
  <c r="W211" i="41"/>
  <c r="V211" i="41"/>
  <c r="U211" i="41"/>
  <c r="T211" i="41"/>
  <c r="S211" i="41"/>
  <c r="Q211" i="41"/>
  <c r="O211" i="41"/>
  <c r="M211" i="41"/>
  <c r="K211" i="41"/>
  <c r="X210" i="41"/>
  <c r="W210" i="41"/>
  <c r="V210" i="41"/>
  <c r="U210" i="41"/>
  <c r="T210" i="41"/>
  <c r="S210" i="41"/>
  <c r="Q210" i="41"/>
  <c r="O210" i="41"/>
  <c r="M210" i="41"/>
  <c r="K210" i="41"/>
  <c r="X209" i="41"/>
  <c r="W209" i="41"/>
  <c r="V209" i="41"/>
  <c r="U209" i="41"/>
  <c r="T209" i="41"/>
  <c r="S209" i="41"/>
  <c r="Q209" i="41"/>
  <c r="O209" i="41"/>
  <c r="M209" i="41"/>
  <c r="K209" i="41"/>
  <c r="X208" i="41"/>
  <c r="W208" i="41"/>
  <c r="V208" i="41"/>
  <c r="U208" i="41"/>
  <c r="T208" i="41"/>
  <c r="S208" i="41"/>
  <c r="Q208" i="41"/>
  <c r="O208" i="41"/>
  <c r="M208" i="41"/>
  <c r="K208" i="41"/>
  <c r="X207" i="41"/>
  <c r="W207" i="41"/>
  <c r="V207" i="41"/>
  <c r="U207" i="41"/>
  <c r="T207" i="41"/>
  <c r="S207" i="41"/>
  <c r="Q207" i="41"/>
  <c r="O207" i="41"/>
  <c r="M207" i="41"/>
  <c r="K207" i="41"/>
  <c r="X206" i="41"/>
  <c r="W206" i="41"/>
  <c r="V206" i="41"/>
  <c r="U206" i="41"/>
  <c r="T206" i="41"/>
  <c r="S206" i="41"/>
  <c r="Q206" i="41"/>
  <c r="O206" i="41"/>
  <c r="M206" i="41"/>
  <c r="K206" i="41"/>
  <c r="X205" i="41"/>
  <c r="W205" i="41"/>
  <c r="V205" i="41"/>
  <c r="U205" i="41"/>
  <c r="T205" i="41"/>
  <c r="S205" i="41"/>
  <c r="Q205" i="41"/>
  <c r="O205" i="41"/>
  <c r="M205" i="41"/>
  <c r="K205" i="41"/>
  <c r="X204" i="41"/>
  <c r="W204" i="41"/>
  <c r="V204" i="41"/>
  <c r="U204" i="41"/>
  <c r="T204" i="41"/>
  <c r="S204" i="41"/>
  <c r="Q204" i="41"/>
  <c r="O204" i="41"/>
  <c r="M204" i="41"/>
  <c r="K204" i="41"/>
  <c r="X203" i="41"/>
  <c r="W203" i="41"/>
  <c r="V203" i="41"/>
  <c r="U203" i="41"/>
  <c r="T203" i="41"/>
  <c r="S203" i="41"/>
  <c r="Q203" i="41"/>
  <c r="O203" i="41"/>
  <c r="M203" i="41"/>
  <c r="K203" i="41"/>
  <c r="X202" i="41"/>
  <c r="W202" i="41"/>
  <c r="V202" i="41"/>
  <c r="U202" i="41"/>
  <c r="T202" i="41"/>
  <c r="S202" i="41"/>
  <c r="Q202" i="41"/>
  <c r="O202" i="41"/>
  <c r="M202" i="41"/>
  <c r="K202" i="41"/>
  <c r="X201" i="41"/>
  <c r="W201" i="41"/>
  <c r="V201" i="41"/>
  <c r="U201" i="41"/>
  <c r="T201" i="41"/>
  <c r="S201" i="41"/>
  <c r="Q201" i="41"/>
  <c r="O201" i="41"/>
  <c r="M201" i="41"/>
  <c r="K201" i="41"/>
  <c r="X200" i="41"/>
  <c r="W200" i="41"/>
  <c r="V200" i="41"/>
  <c r="U200" i="41"/>
  <c r="T200" i="41"/>
  <c r="S200" i="41"/>
  <c r="Q200" i="41"/>
  <c r="O200" i="41"/>
  <c r="M200" i="41"/>
  <c r="K200" i="41"/>
  <c r="X199" i="41"/>
  <c r="W199" i="41"/>
  <c r="V199" i="41"/>
  <c r="U199" i="41"/>
  <c r="T199" i="41"/>
  <c r="S199" i="41"/>
  <c r="Q199" i="41"/>
  <c r="O199" i="41"/>
  <c r="M199" i="41"/>
  <c r="K199" i="41"/>
  <c r="X198" i="41"/>
  <c r="W198" i="41"/>
  <c r="V198" i="41"/>
  <c r="U198" i="41"/>
  <c r="T198" i="41"/>
  <c r="S198" i="41"/>
  <c r="Q198" i="41"/>
  <c r="O198" i="41"/>
  <c r="M198" i="41"/>
  <c r="K198" i="41"/>
  <c r="X197" i="41"/>
  <c r="W197" i="41"/>
  <c r="V197" i="41"/>
  <c r="U197" i="41"/>
  <c r="T197" i="41"/>
  <c r="S197" i="41"/>
  <c r="Q197" i="41"/>
  <c r="O197" i="41"/>
  <c r="M197" i="41"/>
  <c r="K197" i="41"/>
  <c r="X196" i="41"/>
  <c r="W196" i="41"/>
  <c r="V196" i="41"/>
  <c r="U196" i="41"/>
  <c r="T196" i="41"/>
  <c r="S196" i="41"/>
  <c r="Q196" i="41"/>
  <c r="O196" i="41"/>
  <c r="M196" i="41"/>
  <c r="K196" i="41"/>
  <c r="X195" i="41"/>
  <c r="W195" i="41"/>
  <c r="V195" i="41"/>
  <c r="U195" i="41"/>
  <c r="T195" i="41"/>
  <c r="S195" i="41"/>
  <c r="Q195" i="41"/>
  <c r="O195" i="41"/>
  <c r="M195" i="41"/>
  <c r="K195" i="41"/>
  <c r="X194" i="41"/>
  <c r="W194" i="41"/>
  <c r="V194" i="41"/>
  <c r="U194" i="41"/>
  <c r="T194" i="41"/>
  <c r="S194" i="41"/>
  <c r="Q194" i="41"/>
  <c r="O194" i="41"/>
  <c r="M194" i="41"/>
  <c r="K194" i="41"/>
  <c r="X193" i="41"/>
  <c r="W193" i="41"/>
  <c r="V193" i="41"/>
  <c r="U193" i="41"/>
  <c r="T193" i="41"/>
  <c r="S193" i="41"/>
  <c r="Q193" i="41"/>
  <c r="O193" i="41"/>
  <c r="M193" i="41"/>
  <c r="K193" i="41"/>
  <c r="X192" i="41"/>
  <c r="W192" i="41"/>
  <c r="V192" i="41"/>
  <c r="U192" i="41"/>
  <c r="T192" i="41"/>
  <c r="S192" i="41"/>
  <c r="Q192" i="41"/>
  <c r="O192" i="41"/>
  <c r="M192" i="41"/>
  <c r="K192" i="41"/>
  <c r="X191" i="41"/>
  <c r="W191" i="41"/>
  <c r="V191" i="41"/>
  <c r="U191" i="41"/>
  <c r="T191" i="41"/>
  <c r="S191" i="41"/>
  <c r="Q191" i="41"/>
  <c r="O191" i="41"/>
  <c r="M191" i="41"/>
  <c r="K191" i="41"/>
  <c r="X190" i="41"/>
  <c r="W190" i="41"/>
  <c r="V190" i="41"/>
  <c r="U190" i="41"/>
  <c r="T190" i="41"/>
  <c r="S190" i="41"/>
  <c r="Q190" i="41"/>
  <c r="O190" i="41"/>
  <c r="M190" i="41"/>
  <c r="K190" i="41"/>
  <c r="X189" i="41"/>
  <c r="W189" i="41"/>
  <c r="V189" i="41"/>
  <c r="U189" i="41"/>
  <c r="T189" i="41"/>
  <c r="S189" i="41"/>
  <c r="Q189" i="41"/>
  <c r="O189" i="41"/>
  <c r="M189" i="41"/>
  <c r="K189" i="41"/>
  <c r="X188" i="41"/>
  <c r="W188" i="41"/>
  <c r="V188" i="41"/>
  <c r="U188" i="41"/>
  <c r="T188" i="41"/>
  <c r="S188" i="41"/>
  <c r="Q188" i="41"/>
  <c r="O188" i="41"/>
  <c r="M188" i="41"/>
  <c r="K188" i="41"/>
  <c r="X187" i="41"/>
  <c r="W187" i="41"/>
  <c r="V187" i="41"/>
  <c r="U187" i="41"/>
  <c r="T187" i="41"/>
  <c r="S187" i="41"/>
  <c r="Q187" i="41"/>
  <c r="O187" i="41"/>
  <c r="M187" i="41"/>
  <c r="K187" i="41"/>
  <c r="X186" i="41"/>
  <c r="W186" i="41"/>
  <c r="V186" i="41"/>
  <c r="U186" i="41"/>
  <c r="T186" i="41"/>
  <c r="S186" i="41"/>
  <c r="Q186" i="41"/>
  <c r="O186" i="41"/>
  <c r="M186" i="41"/>
  <c r="K186" i="41"/>
  <c r="X185" i="41"/>
  <c r="W185" i="41"/>
  <c r="V185" i="41"/>
  <c r="U185" i="41"/>
  <c r="T185" i="41"/>
  <c r="S185" i="41"/>
  <c r="Q185" i="41"/>
  <c r="O185" i="41"/>
  <c r="M185" i="41"/>
  <c r="K185" i="41"/>
  <c r="X184" i="41"/>
  <c r="W184" i="41"/>
  <c r="V184" i="41"/>
  <c r="U184" i="41"/>
  <c r="T184" i="41"/>
  <c r="S184" i="41"/>
  <c r="Q184" i="41"/>
  <c r="O184" i="41"/>
  <c r="M184" i="41"/>
  <c r="K184" i="41"/>
  <c r="X183" i="41"/>
  <c r="W183" i="41"/>
  <c r="V183" i="41"/>
  <c r="U183" i="41"/>
  <c r="T183" i="41"/>
  <c r="S183" i="41"/>
  <c r="Q183" i="41"/>
  <c r="O183" i="41"/>
  <c r="M183" i="41"/>
  <c r="K183" i="41"/>
  <c r="X182" i="41"/>
  <c r="W182" i="41"/>
  <c r="V182" i="41"/>
  <c r="U182" i="41"/>
  <c r="T182" i="41"/>
  <c r="S182" i="41"/>
  <c r="Q182" i="41"/>
  <c r="O182" i="41"/>
  <c r="M182" i="41"/>
  <c r="K182" i="41"/>
  <c r="X181" i="41"/>
  <c r="W181" i="41"/>
  <c r="V181" i="41"/>
  <c r="U181" i="41"/>
  <c r="T181" i="41"/>
  <c r="S181" i="41"/>
  <c r="Q181" i="41"/>
  <c r="O181" i="41"/>
  <c r="M181" i="41"/>
  <c r="K181" i="41"/>
  <c r="X180" i="41"/>
  <c r="W180" i="41"/>
  <c r="V180" i="41"/>
  <c r="U180" i="41"/>
  <c r="T180" i="41"/>
  <c r="S180" i="41"/>
  <c r="Q180" i="41"/>
  <c r="O180" i="41"/>
  <c r="M180" i="41"/>
  <c r="K180" i="41"/>
  <c r="X179" i="41"/>
  <c r="W179" i="41"/>
  <c r="V179" i="41"/>
  <c r="U179" i="41"/>
  <c r="T179" i="41"/>
  <c r="S179" i="41"/>
  <c r="Q179" i="41"/>
  <c r="O179" i="41"/>
  <c r="M179" i="41"/>
  <c r="K179" i="41"/>
  <c r="X178" i="41"/>
  <c r="W178" i="41"/>
  <c r="V178" i="41"/>
  <c r="U178" i="41"/>
  <c r="T178" i="41"/>
  <c r="S178" i="41"/>
  <c r="Q178" i="41"/>
  <c r="O178" i="41"/>
  <c r="M178" i="41"/>
  <c r="K178" i="41"/>
  <c r="X177" i="41"/>
  <c r="W177" i="41"/>
  <c r="V177" i="41"/>
  <c r="U177" i="41"/>
  <c r="T177" i="41"/>
  <c r="S177" i="41"/>
  <c r="Q177" i="41"/>
  <c r="O177" i="41"/>
  <c r="M177" i="41"/>
  <c r="K177" i="41"/>
  <c r="X176" i="41"/>
  <c r="W176" i="41"/>
  <c r="V176" i="41"/>
  <c r="U176" i="41"/>
  <c r="T176" i="41"/>
  <c r="S176" i="41"/>
  <c r="Q176" i="41"/>
  <c r="O176" i="41"/>
  <c r="M176" i="41"/>
  <c r="K176" i="41"/>
  <c r="X175" i="41"/>
  <c r="W175" i="41"/>
  <c r="V175" i="41"/>
  <c r="U175" i="41"/>
  <c r="T175" i="41"/>
  <c r="S175" i="41"/>
  <c r="Q175" i="41"/>
  <c r="O175" i="41"/>
  <c r="M175" i="41"/>
  <c r="K175" i="41"/>
  <c r="X174" i="41"/>
  <c r="W174" i="41"/>
  <c r="V174" i="41"/>
  <c r="U174" i="41"/>
  <c r="T174" i="41"/>
  <c r="S174" i="41"/>
  <c r="Q174" i="41"/>
  <c r="O174" i="41"/>
  <c r="M174" i="41"/>
  <c r="K174" i="41"/>
  <c r="X173" i="41"/>
  <c r="W173" i="41"/>
  <c r="V173" i="41"/>
  <c r="U173" i="41"/>
  <c r="T173" i="41"/>
  <c r="S173" i="41"/>
  <c r="Q173" i="41"/>
  <c r="O173" i="41"/>
  <c r="M173" i="41"/>
  <c r="K173" i="41"/>
  <c r="X172" i="41"/>
  <c r="W172" i="41"/>
  <c r="V172" i="41"/>
  <c r="U172" i="41"/>
  <c r="T172" i="41"/>
  <c r="S172" i="41"/>
  <c r="Q172" i="41"/>
  <c r="O172" i="41"/>
  <c r="M172" i="41"/>
  <c r="K172" i="41"/>
  <c r="X171" i="41"/>
  <c r="W171" i="41"/>
  <c r="V171" i="41"/>
  <c r="U171" i="41"/>
  <c r="T171" i="41"/>
  <c r="S171" i="41"/>
  <c r="Q171" i="41"/>
  <c r="O171" i="41"/>
  <c r="M171" i="41"/>
  <c r="K171" i="41"/>
  <c r="X170" i="41"/>
  <c r="W170" i="41"/>
  <c r="V170" i="41"/>
  <c r="U170" i="41"/>
  <c r="T170" i="41"/>
  <c r="S170" i="41"/>
  <c r="Q170" i="41"/>
  <c r="O170" i="41"/>
  <c r="M170" i="41"/>
  <c r="K170" i="41"/>
  <c r="X169" i="41"/>
  <c r="W169" i="41"/>
  <c r="V169" i="41"/>
  <c r="U169" i="41"/>
  <c r="T169" i="41"/>
  <c r="S169" i="41"/>
  <c r="Q169" i="41"/>
  <c r="O169" i="41"/>
  <c r="M169" i="41"/>
  <c r="K169" i="41"/>
  <c r="X168" i="41"/>
  <c r="W168" i="41"/>
  <c r="V168" i="41"/>
  <c r="U168" i="41"/>
  <c r="T168" i="41"/>
  <c r="S168" i="41"/>
  <c r="Q168" i="41"/>
  <c r="O168" i="41"/>
  <c r="M168" i="41"/>
  <c r="K168" i="41"/>
  <c r="X167" i="41"/>
  <c r="W167" i="41"/>
  <c r="V167" i="41"/>
  <c r="U167" i="41"/>
  <c r="T167" i="41"/>
  <c r="S167" i="41"/>
  <c r="Q167" i="41"/>
  <c r="O167" i="41"/>
  <c r="M167" i="41"/>
  <c r="K167" i="41"/>
  <c r="X166" i="41"/>
  <c r="W166" i="41"/>
  <c r="V166" i="41"/>
  <c r="U166" i="41"/>
  <c r="T166" i="41"/>
  <c r="S166" i="41"/>
  <c r="Q166" i="41"/>
  <c r="O166" i="41"/>
  <c r="M166" i="41"/>
  <c r="K166" i="41"/>
  <c r="X165" i="41"/>
  <c r="W165" i="41"/>
  <c r="V165" i="41"/>
  <c r="U165" i="41"/>
  <c r="T165" i="41"/>
  <c r="S165" i="41"/>
  <c r="Q165" i="41"/>
  <c r="O165" i="41"/>
  <c r="M165" i="41"/>
  <c r="K165" i="41"/>
  <c r="X164" i="41"/>
  <c r="W164" i="41"/>
  <c r="V164" i="41"/>
  <c r="U164" i="41"/>
  <c r="T164" i="41"/>
  <c r="S164" i="41"/>
  <c r="Q164" i="41"/>
  <c r="O164" i="41"/>
  <c r="M164" i="41"/>
  <c r="K164" i="41"/>
  <c r="X163" i="41"/>
  <c r="W163" i="41"/>
  <c r="V163" i="41"/>
  <c r="U163" i="41"/>
  <c r="T163" i="41"/>
  <c r="S163" i="41"/>
  <c r="Q163" i="41"/>
  <c r="O163" i="41"/>
  <c r="M163" i="41"/>
  <c r="K163" i="41"/>
  <c r="X162" i="41"/>
  <c r="W162" i="41"/>
  <c r="V162" i="41"/>
  <c r="U162" i="41"/>
  <c r="T162" i="41"/>
  <c r="S162" i="41"/>
  <c r="Q162" i="41"/>
  <c r="O162" i="41"/>
  <c r="M162" i="41"/>
  <c r="K162" i="41"/>
  <c r="X161" i="41"/>
  <c r="W161" i="41"/>
  <c r="V161" i="41"/>
  <c r="U161" i="41"/>
  <c r="T161" i="41"/>
  <c r="S161" i="41"/>
  <c r="Q161" i="41"/>
  <c r="O161" i="41"/>
  <c r="M161" i="41"/>
  <c r="K161" i="41"/>
  <c r="X160" i="41"/>
  <c r="W160" i="41"/>
  <c r="V160" i="41"/>
  <c r="U160" i="41"/>
  <c r="T160" i="41"/>
  <c r="S160" i="41"/>
  <c r="Q160" i="41"/>
  <c r="O160" i="41"/>
  <c r="M160" i="41"/>
  <c r="K160" i="41"/>
  <c r="X159" i="41"/>
  <c r="W159" i="41"/>
  <c r="V159" i="41"/>
  <c r="U159" i="41"/>
  <c r="T159" i="41"/>
  <c r="S159" i="41"/>
  <c r="Q159" i="41"/>
  <c r="O159" i="41"/>
  <c r="M159" i="41"/>
  <c r="K159" i="41"/>
  <c r="X158" i="41"/>
  <c r="W158" i="41"/>
  <c r="V158" i="41"/>
  <c r="U158" i="41"/>
  <c r="T158" i="41"/>
  <c r="S158" i="41"/>
  <c r="Q158" i="41"/>
  <c r="O158" i="41"/>
  <c r="M158" i="41"/>
  <c r="K158" i="41"/>
  <c r="X157" i="41"/>
  <c r="W157" i="41"/>
  <c r="V157" i="41"/>
  <c r="U157" i="41"/>
  <c r="T157" i="41"/>
  <c r="S157" i="41"/>
  <c r="Q157" i="41"/>
  <c r="O157" i="41"/>
  <c r="M157" i="41"/>
  <c r="K157" i="41"/>
  <c r="X156" i="41"/>
  <c r="W156" i="41"/>
  <c r="V156" i="41"/>
  <c r="U156" i="41"/>
  <c r="T156" i="41"/>
  <c r="S156" i="41"/>
  <c r="Q156" i="41"/>
  <c r="O156" i="41"/>
  <c r="M156" i="41"/>
  <c r="K156" i="41"/>
  <c r="X155" i="41"/>
  <c r="W155" i="41"/>
  <c r="V155" i="41"/>
  <c r="U155" i="41"/>
  <c r="T155" i="41"/>
  <c r="S155" i="41"/>
  <c r="Q155" i="41"/>
  <c r="O155" i="41"/>
  <c r="M155" i="41"/>
  <c r="K155" i="41"/>
  <c r="X154" i="41"/>
  <c r="W154" i="41"/>
  <c r="V154" i="41"/>
  <c r="U154" i="41"/>
  <c r="T154" i="41"/>
  <c r="S154" i="41"/>
  <c r="Q154" i="41"/>
  <c r="O154" i="41"/>
  <c r="M154" i="41"/>
  <c r="K154" i="41"/>
  <c r="X153" i="41"/>
  <c r="W153" i="41"/>
  <c r="V153" i="41"/>
  <c r="U153" i="41"/>
  <c r="T153" i="41"/>
  <c r="S153" i="41"/>
  <c r="Q153" i="41"/>
  <c r="O153" i="41"/>
  <c r="M153" i="41"/>
  <c r="K153" i="41"/>
  <c r="X152" i="41"/>
  <c r="W152" i="41"/>
  <c r="V152" i="41"/>
  <c r="U152" i="41"/>
  <c r="T152" i="41"/>
  <c r="S152" i="41"/>
  <c r="Q152" i="41"/>
  <c r="O152" i="41"/>
  <c r="M152" i="41"/>
  <c r="K152" i="41"/>
  <c r="X151" i="41"/>
  <c r="W151" i="41"/>
  <c r="V151" i="41"/>
  <c r="U151" i="41"/>
  <c r="T151" i="41"/>
  <c r="S151" i="41"/>
  <c r="Q151" i="41"/>
  <c r="O151" i="41"/>
  <c r="M151" i="41"/>
  <c r="K151" i="41"/>
  <c r="X150" i="41"/>
  <c r="W150" i="41"/>
  <c r="V150" i="41"/>
  <c r="U150" i="41"/>
  <c r="T150" i="41"/>
  <c r="S150" i="41"/>
  <c r="Q150" i="41"/>
  <c r="O150" i="41"/>
  <c r="M150" i="41"/>
  <c r="K150" i="41"/>
  <c r="X149" i="41"/>
  <c r="W149" i="41"/>
  <c r="V149" i="41"/>
  <c r="U149" i="41"/>
  <c r="T149" i="41"/>
  <c r="S149" i="41"/>
  <c r="Q149" i="41"/>
  <c r="O149" i="41"/>
  <c r="M149" i="41"/>
  <c r="K149" i="41"/>
  <c r="X148" i="41"/>
  <c r="W148" i="41"/>
  <c r="V148" i="41"/>
  <c r="U148" i="41"/>
  <c r="T148" i="41"/>
  <c r="S148" i="41"/>
  <c r="Q148" i="41"/>
  <c r="O148" i="41"/>
  <c r="M148" i="41"/>
  <c r="K148" i="41"/>
  <c r="X147" i="41"/>
  <c r="W147" i="41"/>
  <c r="V147" i="41"/>
  <c r="U147" i="41"/>
  <c r="T147" i="41"/>
  <c r="S147" i="41"/>
  <c r="Q147" i="41"/>
  <c r="O147" i="41"/>
  <c r="M147" i="41"/>
  <c r="K147" i="41"/>
  <c r="X146" i="41"/>
  <c r="W146" i="41"/>
  <c r="V146" i="41"/>
  <c r="U146" i="41"/>
  <c r="T146" i="41"/>
  <c r="S146" i="41"/>
  <c r="Q146" i="41"/>
  <c r="O146" i="41"/>
  <c r="M146" i="41"/>
  <c r="K146" i="41"/>
  <c r="X145" i="41"/>
  <c r="W145" i="41"/>
  <c r="V145" i="41"/>
  <c r="U145" i="41"/>
  <c r="T145" i="41"/>
  <c r="S145" i="41"/>
  <c r="Q145" i="41"/>
  <c r="O145" i="41"/>
  <c r="M145" i="41"/>
  <c r="K145" i="41"/>
  <c r="X144" i="41"/>
  <c r="W144" i="41"/>
  <c r="V144" i="41"/>
  <c r="U144" i="41"/>
  <c r="T144" i="41"/>
  <c r="S144" i="41"/>
  <c r="Q144" i="41"/>
  <c r="O144" i="41"/>
  <c r="M144" i="41"/>
  <c r="K144" i="41"/>
  <c r="X143" i="41"/>
  <c r="W143" i="41"/>
  <c r="V143" i="41"/>
  <c r="U143" i="41"/>
  <c r="T143" i="41"/>
  <c r="S143" i="41"/>
  <c r="Q143" i="41"/>
  <c r="O143" i="41"/>
  <c r="M143" i="41"/>
  <c r="K143" i="41"/>
  <c r="X142" i="41"/>
  <c r="W142" i="41"/>
  <c r="V142" i="41"/>
  <c r="U142" i="41"/>
  <c r="T142" i="41"/>
  <c r="S142" i="41"/>
  <c r="Q142" i="41"/>
  <c r="O142" i="41"/>
  <c r="M142" i="41"/>
  <c r="K142" i="41"/>
  <c r="X141" i="41"/>
  <c r="W141" i="41"/>
  <c r="V141" i="41"/>
  <c r="U141" i="41"/>
  <c r="T141" i="41"/>
  <c r="S141" i="41"/>
  <c r="Q141" i="41"/>
  <c r="O141" i="41"/>
  <c r="M141" i="41"/>
  <c r="K141" i="41"/>
  <c r="X140" i="41"/>
  <c r="W140" i="41"/>
  <c r="V140" i="41"/>
  <c r="U140" i="41"/>
  <c r="T140" i="41"/>
  <c r="S140" i="41"/>
  <c r="Q140" i="41"/>
  <c r="O140" i="41"/>
  <c r="M140" i="41"/>
  <c r="K140" i="41"/>
  <c r="X139" i="41"/>
  <c r="W139" i="41"/>
  <c r="V139" i="41"/>
  <c r="U139" i="41"/>
  <c r="T139" i="41"/>
  <c r="S139" i="41"/>
  <c r="Q139" i="41"/>
  <c r="O139" i="41"/>
  <c r="M139" i="41"/>
  <c r="K139" i="41"/>
  <c r="X138" i="41"/>
  <c r="W138" i="41"/>
  <c r="V138" i="41"/>
  <c r="U138" i="41"/>
  <c r="T138" i="41"/>
  <c r="S138" i="41"/>
  <c r="Q138" i="41"/>
  <c r="O138" i="41"/>
  <c r="M138" i="41"/>
  <c r="K138" i="41"/>
  <c r="X137" i="41"/>
  <c r="W137" i="41"/>
  <c r="V137" i="41"/>
  <c r="U137" i="41"/>
  <c r="T137" i="41"/>
  <c r="S137" i="41"/>
  <c r="Q137" i="41"/>
  <c r="O137" i="41"/>
  <c r="M137" i="41"/>
  <c r="K137" i="41"/>
  <c r="X136" i="41"/>
  <c r="W136" i="41"/>
  <c r="V136" i="41"/>
  <c r="U136" i="41"/>
  <c r="T136" i="41"/>
  <c r="S136" i="41"/>
  <c r="Q136" i="41"/>
  <c r="O136" i="41"/>
  <c r="M136" i="41"/>
  <c r="K136" i="41"/>
  <c r="X135" i="41"/>
  <c r="W135" i="41"/>
  <c r="V135" i="41"/>
  <c r="U135" i="41"/>
  <c r="T135" i="41"/>
  <c r="S135" i="41"/>
  <c r="Q135" i="41"/>
  <c r="O135" i="41"/>
  <c r="M135" i="41"/>
  <c r="K135" i="41"/>
  <c r="X134" i="41"/>
  <c r="W134" i="41"/>
  <c r="V134" i="41"/>
  <c r="U134" i="41"/>
  <c r="T134" i="41"/>
  <c r="S134" i="41"/>
  <c r="Q134" i="41"/>
  <c r="O134" i="41"/>
  <c r="M134" i="41"/>
  <c r="K134" i="41"/>
  <c r="X133" i="41"/>
  <c r="W133" i="41"/>
  <c r="V133" i="41"/>
  <c r="U133" i="41"/>
  <c r="T133" i="41"/>
  <c r="S133" i="41"/>
  <c r="Q133" i="41"/>
  <c r="O133" i="41"/>
  <c r="M133" i="41"/>
  <c r="K133" i="41"/>
  <c r="X132" i="41"/>
  <c r="W132" i="41"/>
  <c r="V132" i="41"/>
  <c r="U132" i="41"/>
  <c r="T132" i="41"/>
  <c r="S132" i="41"/>
  <c r="Q132" i="41"/>
  <c r="O132" i="41"/>
  <c r="M132" i="41"/>
  <c r="K132" i="41"/>
  <c r="X131" i="41"/>
  <c r="W131" i="41"/>
  <c r="V131" i="41"/>
  <c r="U131" i="41"/>
  <c r="T131" i="41"/>
  <c r="S131" i="41"/>
  <c r="Q131" i="41"/>
  <c r="O131" i="41"/>
  <c r="M131" i="41"/>
  <c r="K131" i="41"/>
  <c r="X130" i="41"/>
  <c r="W130" i="41"/>
  <c r="V130" i="41"/>
  <c r="U130" i="41"/>
  <c r="T130" i="41"/>
  <c r="S130" i="41"/>
  <c r="Q130" i="41"/>
  <c r="O130" i="41"/>
  <c r="M130" i="41"/>
  <c r="K130" i="41"/>
  <c r="X129" i="41"/>
  <c r="W129" i="41"/>
  <c r="V129" i="41"/>
  <c r="U129" i="41"/>
  <c r="T129" i="41"/>
  <c r="S129" i="41"/>
  <c r="Q129" i="41"/>
  <c r="O129" i="41"/>
  <c r="M129" i="41"/>
  <c r="K129" i="41"/>
  <c r="X128" i="41"/>
  <c r="W128" i="41"/>
  <c r="V128" i="41"/>
  <c r="U128" i="41"/>
  <c r="T128" i="41"/>
  <c r="S128" i="41"/>
  <c r="Q128" i="41"/>
  <c r="O128" i="41"/>
  <c r="M128" i="41"/>
  <c r="K128" i="41"/>
  <c r="X127" i="41"/>
  <c r="W127" i="41"/>
  <c r="V127" i="41"/>
  <c r="U127" i="41"/>
  <c r="T127" i="41"/>
  <c r="S127" i="41"/>
  <c r="Q127" i="41"/>
  <c r="O127" i="41"/>
  <c r="M127" i="41"/>
  <c r="K127" i="41"/>
  <c r="X126" i="41"/>
  <c r="W126" i="41"/>
  <c r="V126" i="41"/>
  <c r="U126" i="41"/>
  <c r="T126" i="41"/>
  <c r="S126" i="41"/>
  <c r="Q126" i="41"/>
  <c r="O126" i="41"/>
  <c r="M126" i="41"/>
  <c r="K126" i="41"/>
  <c r="X125" i="41"/>
  <c r="W125" i="41"/>
  <c r="V125" i="41"/>
  <c r="U125" i="41"/>
  <c r="T125" i="41"/>
  <c r="S125" i="41"/>
  <c r="Q125" i="41"/>
  <c r="O125" i="41"/>
  <c r="M125" i="41"/>
  <c r="K125" i="41"/>
  <c r="X124" i="41"/>
  <c r="W124" i="41"/>
  <c r="V124" i="41"/>
  <c r="U124" i="41"/>
  <c r="T124" i="41"/>
  <c r="S124" i="41"/>
  <c r="Q124" i="41"/>
  <c r="O124" i="41"/>
  <c r="M124" i="41"/>
  <c r="K124" i="41"/>
  <c r="X123" i="41"/>
  <c r="W123" i="41"/>
  <c r="V123" i="41"/>
  <c r="U123" i="41"/>
  <c r="T123" i="41"/>
  <c r="S123" i="41"/>
  <c r="Q123" i="41"/>
  <c r="O123" i="41"/>
  <c r="M123" i="41"/>
  <c r="K123" i="41"/>
  <c r="X122" i="41"/>
  <c r="W122" i="41"/>
  <c r="V122" i="41"/>
  <c r="U122" i="41"/>
  <c r="T122" i="41"/>
  <c r="S122" i="41"/>
  <c r="Q122" i="41"/>
  <c r="O122" i="41"/>
  <c r="M122" i="41"/>
  <c r="K122" i="41"/>
  <c r="X121" i="41"/>
  <c r="W121" i="41"/>
  <c r="V121" i="41"/>
  <c r="U121" i="41"/>
  <c r="T121" i="41"/>
  <c r="S121" i="41"/>
  <c r="Q121" i="41"/>
  <c r="O121" i="41"/>
  <c r="M121" i="41"/>
  <c r="K121" i="41"/>
  <c r="X120" i="41"/>
  <c r="W120" i="41"/>
  <c r="V120" i="41"/>
  <c r="U120" i="41"/>
  <c r="T120" i="41"/>
  <c r="S120" i="41"/>
  <c r="Q120" i="41"/>
  <c r="O120" i="41"/>
  <c r="M120" i="41"/>
  <c r="K120" i="41"/>
  <c r="X119" i="41"/>
  <c r="W119" i="41"/>
  <c r="V119" i="41"/>
  <c r="U119" i="41"/>
  <c r="T119" i="41"/>
  <c r="S119" i="41"/>
  <c r="Q119" i="41"/>
  <c r="O119" i="41"/>
  <c r="M119" i="41"/>
  <c r="K119" i="41"/>
  <c r="X118" i="41"/>
  <c r="W118" i="41"/>
  <c r="V118" i="41"/>
  <c r="U118" i="41"/>
  <c r="T118" i="41"/>
  <c r="S118" i="41"/>
  <c r="Q118" i="41"/>
  <c r="O118" i="41"/>
  <c r="M118" i="41"/>
  <c r="K118" i="41"/>
  <c r="X117" i="41"/>
  <c r="W117" i="41"/>
  <c r="V117" i="41"/>
  <c r="U117" i="41"/>
  <c r="T117" i="41"/>
  <c r="S117" i="41"/>
  <c r="Q117" i="41"/>
  <c r="O117" i="41"/>
  <c r="M117" i="41"/>
  <c r="K117" i="41"/>
  <c r="X116" i="41"/>
  <c r="W116" i="41"/>
  <c r="V116" i="41"/>
  <c r="U116" i="41"/>
  <c r="T116" i="41"/>
  <c r="S116" i="41"/>
  <c r="Q116" i="41"/>
  <c r="O116" i="41"/>
  <c r="M116" i="41"/>
  <c r="K116" i="41"/>
  <c r="X115" i="41"/>
  <c r="W115" i="41"/>
  <c r="V115" i="41"/>
  <c r="U115" i="41"/>
  <c r="T115" i="41"/>
  <c r="S115" i="41"/>
  <c r="Q115" i="41"/>
  <c r="O115" i="41"/>
  <c r="M115" i="41"/>
  <c r="K115" i="41"/>
  <c r="X114" i="41"/>
  <c r="W114" i="41"/>
  <c r="V114" i="41"/>
  <c r="U114" i="41"/>
  <c r="T114" i="41"/>
  <c r="S114" i="41"/>
  <c r="Q114" i="41"/>
  <c r="O114" i="41"/>
  <c r="M114" i="41"/>
  <c r="K114" i="41"/>
  <c r="X113" i="41"/>
  <c r="W113" i="41"/>
  <c r="V113" i="41"/>
  <c r="U113" i="41"/>
  <c r="T113" i="41"/>
  <c r="S113" i="41"/>
  <c r="Q113" i="41"/>
  <c r="O113" i="41"/>
  <c r="M113" i="41"/>
  <c r="K113" i="41"/>
  <c r="X112" i="41"/>
  <c r="W112" i="41"/>
  <c r="V112" i="41"/>
  <c r="U112" i="41"/>
  <c r="T112" i="41"/>
  <c r="S112" i="41"/>
  <c r="Q112" i="41"/>
  <c r="O112" i="41"/>
  <c r="M112" i="41"/>
  <c r="K112" i="41"/>
  <c r="X111" i="41"/>
  <c r="W111" i="41"/>
  <c r="V111" i="41"/>
  <c r="U111" i="41"/>
  <c r="T111" i="41"/>
  <c r="S111" i="41"/>
  <c r="Q111" i="41"/>
  <c r="O111" i="41"/>
  <c r="M111" i="41"/>
  <c r="K111" i="41"/>
  <c r="X110" i="41"/>
  <c r="W110" i="41"/>
  <c r="V110" i="41"/>
  <c r="U110" i="41"/>
  <c r="T110" i="41"/>
  <c r="S110" i="41"/>
  <c r="Q110" i="41"/>
  <c r="O110" i="41"/>
  <c r="M110" i="41"/>
  <c r="K110" i="41"/>
  <c r="X109" i="41"/>
  <c r="W109" i="41"/>
  <c r="V109" i="41"/>
  <c r="U109" i="41"/>
  <c r="T109" i="41"/>
  <c r="S109" i="41"/>
  <c r="Q109" i="41"/>
  <c r="O109" i="41"/>
  <c r="M109" i="41"/>
  <c r="K109" i="41"/>
  <c r="X108" i="41"/>
  <c r="W108" i="41"/>
  <c r="V108" i="41"/>
  <c r="U108" i="41"/>
  <c r="T108" i="41"/>
  <c r="S108" i="41"/>
  <c r="Q108" i="41"/>
  <c r="O108" i="41"/>
  <c r="M108" i="41"/>
  <c r="K108" i="41"/>
  <c r="X107" i="41"/>
  <c r="W107" i="41"/>
  <c r="V107" i="41"/>
  <c r="U107" i="41"/>
  <c r="T107" i="41"/>
  <c r="S107" i="41"/>
  <c r="Q107" i="41"/>
  <c r="O107" i="41"/>
  <c r="M107" i="41"/>
  <c r="K107" i="41"/>
  <c r="X106" i="41"/>
  <c r="W106" i="41"/>
  <c r="V106" i="41"/>
  <c r="U106" i="41"/>
  <c r="T106" i="41"/>
  <c r="S106" i="41"/>
  <c r="Q106" i="41"/>
  <c r="O106" i="41"/>
  <c r="M106" i="41"/>
  <c r="K106" i="41"/>
  <c r="X105" i="41"/>
  <c r="W105" i="41"/>
  <c r="V105" i="41"/>
  <c r="U105" i="41"/>
  <c r="T105" i="41"/>
  <c r="S105" i="41"/>
  <c r="Q105" i="41"/>
  <c r="O105" i="41"/>
  <c r="M105" i="41"/>
  <c r="K105" i="41"/>
  <c r="X104" i="41"/>
  <c r="W104" i="41"/>
  <c r="V104" i="41"/>
  <c r="U104" i="41"/>
  <c r="T104" i="41"/>
  <c r="S104" i="41"/>
  <c r="Q104" i="41"/>
  <c r="O104" i="41"/>
  <c r="M104" i="41"/>
  <c r="K104" i="41"/>
  <c r="X103" i="41"/>
  <c r="W103" i="41"/>
  <c r="V103" i="41"/>
  <c r="U103" i="41"/>
  <c r="T103" i="41"/>
  <c r="S103" i="41"/>
  <c r="Q103" i="41"/>
  <c r="O103" i="41"/>
  <c r="M103" i="41"/>
  <c r="K103" i="41"/>
  <c r="X102" i="41"/>
  <c r="W102" i="41"/>
  <c r="V102" i="41"/>
  <c r="U102" i="41"/>
  <c r="T102" i="41"/>
  <c r="S102" i="41"/>
  <c r="Q102" i="41"/>
  <c r="O102" i="41"/>
  <c r="M102" i="41"/>
  <c r="K102" i="41"/>
  <c r="X101" i="41"/>
  <c r="W101" i="41"/>
  <c r="V101" i="41"/>
  <c r="U101" i="41"/>
  <c r="T101" i="41"/>
  <c r="S101" i="41"/>
  <c r="Q101" i="41"/>
  <c r="O101" i="41"/>
  <c r="M101" i="41"/>
  <c r="K101" i="41"/>
  <c r="X100" i="41"/>
  <c r="W100" i="41"/>
  <c r="V100" i="41"/>
  <c r="U100" i="41"/>
  <c r="T100" i="41"/>
  <c r="S100" i="41"/>
  <c r="Q100" i="41"/>
  <c r="O100" i="41"/>
  <c r="M100" i="41"/>
  <c r="K100" i="41"/>
  <c r="X99" i="41"/>
  <c r="W99" i="41"/>
  <c r="V99" i="41"/>
  <c r="U99" i="41"/>
  <c r="T99" i="41"/>
  <c r="S99" i="41"/>
  <c r="Q99" i="41"/>
  <c r="O99" i="41"/>
  <c r="M99" i="41"/>
  <c r="K99" i="41"/>
  <c r="X98" i="41"/>
  <c r="W98" i="41"/>
  <c r="V98" i="41"/>
  <c r="U98" i="41"/>
  <c r="T98" i="41"/>
  <c r="S98" i="41"/>
  <c r="Q98" i="41"/>
  <c r="O98" i="41"/>
  <c r="M98" i="41"/>
  <c r="K98" i="41"/>
  <c r="X97" i="41"/>
  <c r="W97" i="41"/>
  <c r="V97" i="41"/>
  <c r="U97" i="41"/>
  <c r="T97" i="41"/>
  <c r="S97" i="41"/>
  <c r="Q97" i="41"/>
  <c r="O97" i="41"/>
  <c r="M97" i="41"/>
  <c r="K97" i="41"/>
  <c r="X96" i="41"/>
  <c r="W96" i="41"/>
  <c r="V96" i="41"/>
  <c r="U96" i="41"/>
  <c r="T96" i="41"/>
  <c r="S96" i="41"/>
  <c r="Q96" i="41"/>
  <c r="O96" i="41"/>
  <c r="M96" i="41"/>
  <c r="K96" i="41"/>
  <c r="X95" i="41"/>
  <c r="W95" i="41"/>
  <c r="V95" i="41"/>
  <c r="U95" i="41"/>
  <c r="T95" i="41"/>
  <c r="S95" i="41"/>
  <c r="Q95" i="41"/>
  <c r="O95" i="41"/>
  <c r="M95" i="41"/>
  <c r="K95" i="41"/>
  <c r="X94" i="41"/>
  <c r="W94" i="41"/>
  <c r="V94" i="41"/>
  <c r="U94" i="41"/>
  <c r="T94" i="41"/>
  <c r="S94" i="41"/>
  <c r="Q94" i="41"/>
  <c r="O94" i="41"/>
  <c r="M94" i="41"/>
  <c r="K94" i="41"/>
  <c r="X93" i="41"/>
  <c r="W93" i="41"/>
  <c r="V93" i="41"/>
  <c r="U93" i="41"/>
  <c r="T93" i="41"/>
  <c r="S93" i="41"/>
  <c r="Q93" i="41"/>
  <c r="O93" i="41"/>
  <c r="M93" i="41"/>
  <c r="K93" i="41"/>
  <c r="X92" i="41"/>
  <c r="W92" i="41"/>
  <c r="V92" i="41"/>
  <c r="U92" i="41"/>
  <c r="T92" i="41"/>
  <c r="S92" i="41"/>
  <c r="Q92" i="41"/>
  <c r="O92" i="41"/>
  <c r="M92" i="41"/>
  <c r="K92" i="41"/>
  <c r="X91" i="41"/>
  <c r="W91" i="41"/>
  <c r="V91" i="41"/>
  <c r="U91" i="41"/>
  <c r="T91" i="41"/>
  <c r="S91" i="41"/>
  <c r="Q91" i="41"/>
  <c r="O91" i="41"/>
  <c r="M91" i="41"/>
  <c r="K91" i="41"/>
  <c r="X90" i="41"/>
  <c r="W90" i="41"/>
  <c r="V90" i="41"/>
  <c r="U90" i="41"/>
  <c r="T90" i="41"/>
  <c r="S90" i="41"/>
  <c r="Q90" i="41"/>
  <c r="O90" i="41"/>
  <c r="M90" i="41"/>
  <c r="K90" i="41"/>
  <c r="X89" i="41"/>
  <c r="W89" i="41"/>
  <c r="V89" i="41"/>
  <c r="U89" i="41"/>
  <c r="T89" i="41"/>
  <c r="S89" i="41"/>
  <c r="Q89" i="41"/>
  <c r="O89" i="41"/>
  <c r="M89" i="41"/>
  <c r="K89" i="41"/>
  <c r="X88" i="41"/>
  <c r="W88" i="41"/>
  <c r="V88" i="41"/>
  <c r="U88" i="41"/>
  <c r="T88" i="41"/>
  <c r="S88" i="41"/>
  <c r="Q88" i="41"/>
  <c r="O88" i="41"/>
  <c r="M88" i="41"/>
  <c r="K88" i="41"/>
  <c r="X87" i="41"/>
  <c r="W87" i="41"/>
  <c r="V87" i="41"/>
  <c r="U87" i="41"/>
  <c r="T87" i="41"/>
  <c r="S87" i="41"/>
  <c r="Q87" i="41"/>
  <c r="O87" i="41"/>
  <c r="M87" i="41"/>
  <c r="K87" i="41"/>
  <c r="X86" i="41"/>
  <c r="W86" i="41"/>
  <c r="V86" i="41"/>
  <c r="U86" i="41"/>
  <c r="T86" i="41"/>
  <c r="S86" i="41"/>
  <c r="Q86" i="41"/>
  <c r="O86" i="41"/>
  <c r="M86" i="41"/>
  <c r="K86" i="41"/>
  <c r="X85" i="41"/>
  <c r="W85" i="41"/>
  <c r="V85" i="41"/>
  <c r="U85" i="41"/>
  <c r="T85" i="41"/>
  <c r="S85" i="41"/>
  <c r="Q85" i="41"/>
  <c r="O85" i="41"/>
  <c r="M85" i="41"/>
  <c r="K85" i="41"/>
  <c r="X84" i="41"/>
  <c r="W84" i="41"/>
  <c r="V84" i="41"/>
  <c r="U84" i="41"/>
  <c r="T84" i="41"/>
  <c r="S84" i="41"/>
  <c r="Q84" i="41"/>
  <c r="O84" i="41"/>
  <c r="M84" i="41"/>
  <c r="K84" i="41"/>
  <c r="X83" i="41"/>
  <c r="W83" i="41"/>
  <c r="V83" i="41"/>
  <c r="U83" i="41"/>
  <c r="T83" i="41"/>
  <c r="S83" i="41"/>
  <c r="Q83" i="41"/>
  <c r="O83" i="41"/>
  <c r="M83" i="41"/>
  <c r="K83" i="41"/>
  <c r="X82" i="41"/>
  <c r="W82" i="41"/>
  <c r="V82" i="41"/>
  <c r="U82" i="41"/>
  <c r="T82" i="41"/>
  <c r="S82" i="41"/>
  <c r="Q82" i="41"/>
  <c r="O82" i="41"/>
  <c r="M82" i="41"/>
  <c r="K82" i="41"/>
  <c r="X81" i="41"/>
  <c r="W81" i="41"/>
  <c r="V81" i="41"/>
  <c r="U81" i="41"/>
  <c r="T81" i="41"/>
  <c r="S81" i="41"/>
  <c r="Q81" i="41"/>
  <c r="O81" i="41"/>
  <c r="M81" i="41"/>
  <c r="K81" i="41"/>
  <c r="X80" i="41"/>
  <c r="W80" i="41"/>
  <c r="V80" i="41"/>
  <c r="U80" i="41"/>
  <c r="T80" i="41"/>
  <c r="S80" i="41"/>
  <c r="Q80" i="41"/>
  <c r="O80" i="41"/>
  <c r="M80" i="41"/>
  <c r="K80" i="41"/>
  <c r="X79" i="41"/>
  <c r="W79" i="41"/>
  <c r="V79" i="41"/>
  <c r="U79" i="41"/>
  <c r="T79" i="41"/>
  <c r="S79" i="41"/>
  <c r="Q79" i="41"/>
  <c r="O79" i="41"/>
  <c r="M79" i="41"/>
  <c r="K79" i="41"/>
  <c r="X78" i="41"/>
  <c r="W78" i="41"/>
  <c r="V78" i="41"/>
  <c r="U78" i="41"/>
  <c r="T78" i="41"/>
  <c r="S78" i="41"/>
  <c r="Q78" i="41"/>
  <c r="O78" i="41"/>
  <c r="M78" i="41"/>
  <c r="K78" i="41"/>
  <c r="X77" i="41"/>
  <c r="W77" i="41"/>
  <c r="V77" i="41"/>
  <c r="U77" i="41"/>
  <c r="T77" i="41"/>
  <c r="S77" i="41"/>
  <c r="Q77" i="41"/>
  <c r="O77" i="41"/>
  <c r="M77" i="41"/>
  <c r="K77" i="41"/>
  <c r="X76" i="41"/>
  <c r="W76" i="41"/>
  <c r="V76" i="41"/>
  <c r="U76" i="41"/>
  <c r="T76" i="41"/>
  <c r="S76" i="41"/>
  <c r="Q76" i="41"/>
  <c r="O76" i="41"/>
  <c r="M76" i="41"/>
  <c r="K76" i="41"/>
  <c r="X75" i="41"/>
  <c r="W75" i="41"/>
  <c r="V75" i="41"/>
  <c r="U75" i="41"/>
  <c r="T75" i="41"/>
  <c r="S75" i="41"/>
  <c r="Q75" i="41"/>
  <c r="O75" i="41"/>
  <c r="M75" i="41"/>
  <c r="K75" i="41"/>
  <c r="X74" i="41"/>
  <c r="W74" i="41"/>
  <c r="V74" i="41"/>
  <c r="U74" i="41"/>
  <c r="T74" i="41"/>
  <c r="S74" i="41"/>
  <c r="Q74" i="41"/>
  <c r="O74" i="41"/>
  <c r="M74" i="41"/>
  <c r="K74" i="41"/>
  <c r="X73" i="41"/>
  <c r="W73" i="41"/>
  <c r="V73" i="41"/>
  <c r="U73" i="41"/>
  <c r="T73" i="41"/>
  <c r="S73" i="41"/>
  <c r="Q73" i="41"/>
  <c r="O73" i="41"/>
  <c r="M73" i="41"/>
  <c r="K73" i="41"/>
  <c r="X72" i="41"/>
  <c r="W72" i="41"/>
  <c r="V72" i="41"/>
  <c r="U72" i="41"/>
  <c r="T72" i="41"/>
  <c r="S72" i="41"/>
  <c r="Q72" i="41"/>
  <c r="O72" i="41"/>
  <c r="M72" i="41"/>
  <c r="K72" i="41"/>
  <c r="X71" i="41"/>
  <c r="W71" i="41"/>
  <c r="V71" i="41"/>
  <c r="U71" i="41"/>
  <c r="T71" i="41"/>
  <c r="S71" i="41"/>
  <c r="Q71" i="41"/>
  <c r="O71" i="41"/>
  <c r="M71" i="41"/>
  <c r="K71" i="41"/>
  <c r="X70" i="41"/>
  <c r="W70" i="41"/>
  <c r="V70" i="41"/>
  <c r="U70" i="41"/>
  <c r="T70" i="41"/>
  <c r="S70" i="41"/>
  <c r="Q70" i="41"/>
  <c r="O70" i="41"/>
  <c r="M70" i="41"/>
  <c r="K70" i="41"/>
  <c r="X69" i="41"/>
  <c r="W69" i="41"/>
  <c r="V69" i="41"/>
  <c r="U69" i="41"/>
  <c r="T69" i="41"/>
  <c r="S69" i="41"/>
  <c r="Q69" i="41"/>
  <c r="O69" i="41"/>
  <c r="M69" i="41"/>
  <c r="K69" i="41"/>
  <c r="X68" i="41"/>
  <c r="W68" i="41"/>
  <c r="V68" i="41"/>
  <c r="U68" i="41"/>
  <c r="T68" i="41"/>
  <c r="S68" i="41"/>
  <c r="Q68" i="41"/>
  <c r="O68" i="41"/>
  <c r="M68" i="41"/>
  <c r="K68" i="41"/>
  <c r="X67" i="41"/>
  <c r="W67" i="41"/>
  <c r="V67" i="41"/>
  <c r="U67" i="41"/>
  <c r="T67" i="41"/>
  <c r="S67" i="41"/>
  <c r="Q67" i="41"/>
  <c r="O67" i="41"/>
  <c r="M67" i="41"/>
  <c r="K67" i="41"/>
  <c r="X66" i="41"/>
  <c r="W66" i="41"/>
  <c r="V66" i="41"/>
  <c r="U66" i="41"/>
  <c r="T66" i="41"/>
  <c r="S66" i="41"/>
  <c r="Q66" i="41"/>
  <c r="O66" i="41"/>
  <c r="M66" i="41"/>
  <c r="K66" i="41"/>
  <c r="X65" i="41"/>
  <c r="W65" i="41"/>
  <c r="V65" i="41"/>
  <c r="U65" i="41"/>
  <c r="T65" i="41"/>
  <c r="S65" i="41"/>
  <c r="Q65" i="41"/>
  <c r="O65" i="41"/>
  <c r="M65" i="41"/>
  <c r="K65" i="41"/>
  <c r="X64" i="41"/>
  <c r="W64" i="41"/>
  <c r="V64" i="41"/>
  <c r="U64" i="41"/>
  <c r="T64" i="41"/>
  <c r="S64" i="41"/>
  <c r="Q64" i="41"/>
  <c r="O64" i="41"/>
  <c r="M64" i="41"/>
  <c r="K64" i="41"/>
  <c r="X63" i="41"/>
  <c r="W63" i="41"/>
  <c r="V63" i="41"/>
  <c r="U63" i="41"/>
  <c r="T63" i="41"/>
  <c r="S63" i="41"/>
  <c r="Q63" i="41"/>
  <c r="O63" i="41"/>
  <c r="M63" i="41"/>
  <c r="K63" i="41"/>
  <c r="X62" i="41"/>
  <c r="W62" i="41"/>
  <c r="V62" i="41"/>
  <c r="U62" i="41"/>
  <c r="T62" i="41"/>
  <c r="S62" i="41"/>
  <c r="Q62" i="41"/>
  <c r="O62" i="41"/>
  <c r="M62" i="41"/>
  <c r="K62" i="41"/>
  <c r="X61" i="41"/>
  <c r="W61" i="41"/>
  <c r="V61" i="41"/>
  <c r="U61" i="41"/>
  <c r="T61" i="41"/>
  <c r="S61" i="41"/>
  <c r="Q61" i="41"/>
  <c r="O61" i="41"/>
  <c r="M61" i="41"/>
  <c r="K61" i="41"/>
  <c r="X60" i="41"/>
  <c r="W60" i="41"/>
  <c r="V60" i="41"/>
  <c r="U60" i="41"/>
  <c r="T60" i="41"/>
  <c r="S60" i="41"/>
  <c r="Q60" i="41"/>
  <c r="O60" i="41"/>
  <c r="M60" i="41"/>
  <c r="K60" i="41"/>
  <c r="X59" i="41"/>
  <c r="W59" i="41"/>
  <c r="V59" i="41"/>
  <c r="U59" i="41"/>
  <c r="T59" i="41"/>
  <c r="S59" i="41"/>
  <c r="Q59" i="41"/>
  <c r="O59" i="41"/>
  <c r="M59" i="41"/>
  <c r="K59" i="41"/>
  <c r="X58" i="41"/>
  <c r="W58" i="41"/>
  <c r="V58" i="41"/>
  <c r="U58" i="41"/>
  <c r="T58" i="41"/>
  <c r="S58" i="41"/>
  <c r="Q58" i="41"/>
  <c r="O58" i="41"/>
  <c r="M58" i="41"/>
  <c r="K58" i="41"/>
  <c r="X57" i="41"/>
  <c r="W57" i="41"/>
  <c r="V57" i="41"/>
  <c r="U57" i="41"/>
  <c r="T57" i="41"/>
  <c r="S57" i="41"/>
  <c r="Q57" i="41"/>
  <c r="O57" i="41"/>
  <c r="M57" i="41"/>
  <c r="K57" i="41"/>
  <c r="X56" i="41"/>
  <c r="W56" i="41"/>
  <c r="V56" i="41"/>
  <c r="U56" i="41"/>
  <c r="T56" i="41"/>
  <c r="S56" i="41"/>
  <c r="Q56" i="41"/>
  <c r="O56" i="41"/>
  <c r="M56" i="41"/>
  <c r="K56" i="41"/>
  <c r="X55" i="41"/>
  <c r="W55" i="41"/>
  <c r="V55" i="41"/>
  <c r="U55" i="41"/>
  <c r="T55" i="41"/>
  <c r="S55" i="41"/>
  <c r="Q55" i="41"/>
  <c r="O55" i="41"/>
  <c r="M55" i="41"/>
  <c r="K55" i="41"/>
  <c r="X54" i="41"/>
  <c r="W54" i="41"/>
  <c r="V54" i="41"/>
  <c r="U54" i="41"/>
  <c r="T54" i="41"/>
  <c r="S54" i="41"/>
  <c r="Q54" i="41"/>
  <c r="O54" i="41"/>
  <c r="M54" i="41"/>
  <c r="K54" i="41"/>
  <c r="X53" i="41"/>
  <c r="W53" i="41"/>
  <c r="V53" i="41"/>
  <c r="U53" i="41"/>
  <c r="T53" i="41"/>
  <c r="S53" i="41"/>
  <c r="Q53" i="41"/>
  <c r="O53" i="41"/>
  <c r="M53" i="41"/>
  <c r="K53" i="41"/>
  <c r="X52" i="41"/>
  <c r="W52" i="41"/>
  <c r="V52" i="41"/>
  <c r="U52" i="41"/>
  <c r="T52" i="41"/>
  <c r="S52" i="41"/>
  <c r="Q52" i="41"/>
  <c r="O52" i="41"/>
  <c r="M52" i="41"/>
  <c r="K52" i="41"/>
  <c r="X51" i="41"/>
  <c r="W51" i="41"/>
  <c r="V51" i="41"/>
  <c r="U51" i="41"/>
  <c r="T51" i="41"/>
  <c r="S51" i="41"/>
  <c r="Q51" i="41"/>
  <c r="O51" i="41"/>
  <c r="M51" i="41"/>
  <c r="K51" i="41"/>
  <c r="X50" i="41"/>
  <c r="W50" i="41"/>
  <c r="V50" i="41"/>
  <c r="U50" i="41"/>
  <c r="T50" i="41"/>
  <c r="S50" i="41"/>
  <c r="Q50" i="41"/>
  <c r="O50" i="41"/>
  <c r="M50" i="41"/>
  <c r="K50" i="41"/>
  <c r="X49" i="41"/>
  <c r="W49" i="41"/>
  <c r="V49" i="41"/>
  <c r="U49" i="41"/>
  <c r="T49" i="41"/>
  <c r="S49" i="41"/>
  <c r="Q49" i="41"/>
  <c r="O49" i="41"/>
  <c r="M49" i="41"/>
  <c r="K49" i="41"/>
  <c r="X48" i="41"/>
  <c r="W48" i="41"/>
  <c r="V48" i="41"/>
  <c r="U48" i="41"/>
  <c r="T48" i="41"/>
  <c r="S48" i="41"/>
  <c r="Q48" i="41"/>
  <c r="O48" i="41"/>
  <c r="M48" i="41"/>
  <c r="K48" i="41"/>
  <c r="X47" i="41"/>
  <c r="W47" i="41"/>
  <c r="V47" i="41"/>
  <c r="U47" i="41"/>
  <c r="T47" i="41"/>
  <c r="S47" i="41"/>
  <c r="Q47" i="41"/>
  <c r="O47" i="41"/>
  <c r="M47" i="41"/>
  <c r="K47" i="41"/>
  <c r="X46" i="41"/>
  <c r="W46" i="41"/>
  <c r="V46" i="41"/>
  <c r="U46" i="41"/>
  <c r="T46" i="41"/>
  <c r="S46" i="41"/>
  <c r="Q46" i="41"/>
  <c r="O46" i="41"/>
  <c r="M46" i="41"/>
  <c r="K46" i="41"/>
  <c r="X45" i="41"/>
  <c r="W45" i="41"/>
  <c r="V45" i="41"/>
  <c r="U45" i="41"/>
  <c r="T45" i="41"/>
  <c r="S45" i="41"/>
  <c r="Q45" i="41"/>
  <c r="O45" i="41"/>
  <c r="M45" i="41"/>
  <c r="K45" i="41"/>
  <c r="X44" i="41"/>
  <c r="W44" i="41"/>
  <c r="V44" i="41"/>
  <c r="U44" i="41"/>
  <c r="T44" i="41"/>
  <c r="S44" i="41"/>
  <c r="Q44" i="41"/>
  <c r="O44" i="41"/>
  <c r="M44" i="41"/>
  <c r="K44" i="41"/>
  <c r="X43" i="41"/>
  <c r="W43" i="41"/>
  <c r="V43" i="41"/>
  <c r="U43" i="41"/>
  <c r="T43" i="41"/>
  <c r="S43" i="41"/>
  <c r="Q43" i="41"/>
  <c r="O43" i="41"/>
  <c r="M43" i="41"/>
  <c r="K43" i="41"/>
  <c r="X42" i="41"/>
  <c r="W42" i="41"/>
  <c r="V42" i="41"/>
  <c r="U42" i="41"/>
  <c r="T42" i="41"/>
  <c r="S42" i="41"/>
  <c r="Q42" i="41"/>
  <c r="O42" i="41"/>
  <c r="M42" i="41"/>
  <c r="K42" i="41"/>
  <c r="X41" i="41"/>
  <c r="W41" i="41"/>
  <c r="V41" i="41"/>
  <c r="U41" i="41"/>
  <c r="T41" i="41"/>
  <c r="S41" i="41"/>
  <c r="Q41" i="41"/>
  <c r="O41" i="41"/>
  <c r="M41" i="41"/>
  <c r="K41" i="41"/>
  <c r="X40" i="41"/>
  <c r="W40" i="41"/>
  <c r="V40" i="41"/>
  <c r="U40" i="41"/>
  <c r="T40" i="41"/>
  <c r="S40" i="41"/>
  <c r="Q40" i="41"/>
  <c r="O40" i="41"/>
  <c r="M40" i="41"/>
  <c r="K40" i="41"/>
  <c r="X39" i="41"/>
  <c r="W39" i="41"/>
  <c r="V39" i="41"/>
  <c r="U39" i="41"/>
  <c r="T39" i="41"/>
  <c r="S39" i="41"/>
  <c r="Q39" i="41"/>
  <c r="O39" i="41"/>
  <c r="M39" i="41"/>
  <c r="K39" i="41"/>
  <c r="X38" i="41"/>
  <c r="W38" i="41"/>
  <c r="V38" i="41"/>
  <c r="U38" i="41"/>
  <c r="T38" i="41"/>
  <c r="S38" i="41"/>
  <c r="Q38" i="41"/>
  <c r="O38" i="41"/>
  <c r="M38" i="41"/>
  <c r="K38" i="41"/>
  <c r="X37" i="41"/>
  <c r="W37" i="41"/>
  <c r="V37" i="41"/>
  <c r="U37" i="41"/>
  <c r="T37" i="41"/>
  <c r="S37" i="41"/>
  <c r="Q37" i="41"/>
  <c r="O37" i="41"/>
  <c r="M37" i="41"/>
  <c r="K37" i="41"/>
  <c r="X36" i="41"/>
  <c r="W36" i="41"/>
  <c r="V36" i="41"/>
  <c r="U36" i="41"/>
  <c r="T36" i="41"/>
  <c r="S36" i="41"/>
  <c r="Q36" i="41"/>
  <c r="O36" i="41"/>
  <c r="M36" i="41"/>
  <c r="K36" i="41"/>
  <c r="X35" i="41"/>
  <c r="W35" i="41"/>
  <c r="V35" i="41"/>
  <c r="U35" i="41"/>
  <c r="T35" i="41"/>
  <c r="S35" i="41"/>
  <c r="Q35" i="41"/>
  <c r="O35" i="41"/>
  <c r="M35" i="41"/>
  <c r="K35" i="41"/>
  <c r="X34" i="41"/>
  <c r="W34" i="41"/>
  <c r="V34" i="41"/>
  <c r="U34" i="41"/>
  <c r="T34" i="41"/>
  <c r="S34" i="41"/>
  <c r="Q34" i="41"/>
  <c r="O34" i="41"/>
  <c r="M34" i="41"/>
  <c r="K34" i="41"/>
  <c r="X33" i="41"/>
  <c r="W33" i="41"/>
  <c r="V33" i="41"/>
  <c r="U33" i="41"/>
  <c r="T33" i="41"/>
  <c r="S33" i="41"/>
  <c r="Q33" i="41"/>
  <c r="O33" i="41"/>
  <c r="M33" i="41"/>
  <c r="K33" i="41"/>
  <c r="X32" i="41"/>
  <c r="W32" i="41"/>
  <c r="V32" i="41"/>
  <c r="U32" i="41"/>
  <c r="T32" i="41"/>
  <c r="S32" i="41"/>
  <c r="Q32" i="41"/>
  <c r="O32" i="41"/>
  <c r="M32" i="41"/>
  <c r="K32" i="41"/>
  <c r="X31" i="41"/>
  <c r="W31" i="41"/>
  <c r="V31" i="41"/>
  <c r="U31" i="41"/>
  <c r="T31" i="41"/>
  <c r="S31" i="41"/>
  <c r="Q31" i="41"/>
  <c r="O31" i="41"/>
  <c r="M31" i="41"/>
  <c r="K31" i="41"/>
  <c r="X30" i="41"/>
  <c r="W30" i="41"/>
  <c r="V30" i="41"/>
  <c r="U30" i="41"/>
  <c r="T30" i="41"/>
  <c r="S30" i="41"/>
  <c r="Q30" i="41"/>
  <c r="O30" i="41"/>
  <c r="M30" i="41"/>
  <c r="K30" i="41"/>
  <c r="X29" i="41"/>
  <c r="W29" i="41"/>
  <c r="V29" i="41"/>
  <c r="U29" i="41"/>
  <c r="T29" i="41"/>
  <c r="S29" i="41"/>
  <c r="Q29" i="41"/>
  <c r="O29" i="41"/>
  <c r="M29" i="41"/>
  <c r="K29" i="41"/>
  <c r="X28" i="41"/>
  <c r="W28" i="41"/>
  <c r="V28" i="41"/>
  <c r="U28" i="41"/>
  <c r="T28" i="41"/>
  <c r="S28" i="41"/>
  <c r="Q28" i="41"/>
  <c r="O28" i="41"/>
  <c r="M28" i="41"/>
  <c r="K28" i="41"/>
  <c r="X27" i="41"/>
  <c r="W27" i="41"/>
  <c r="V27" i="41"/>
  <c r="U27" i="41"/>
  <c r="T27" i="41"/>
  <c r="S27" i="41"/>
  <c r="Q27" i="41"/>
  <c r="O27" i="41"/>
  <c r="M27" i="41"/>
  <c r="K27" i="41"/>
  <c r="X26" i="41"/>
  <c r="W26" i="41"/>
  <c r="V26" i="41"/>
  <c r="U26" i="41"/>
  <c r="T26" i="41"/>
  <c r="S26" i="41"/>
  <c r="Q26" i="41"/>
  <c r="O26" i="41"/>
  <c r="M26" i="41"/>
  <c r="K26" i="41"/>
  <c r="X25" i="41"/>
  <c r="W25" i="41"/>
  <c r="V25" i="41"/>
  <c r="U25" i="41"/>
  <c r="T25" i="41"/>
  <c r="S25" i="41"/>
  <c r="Q25" i="41"/>
  <c r="O25" i="41"/>
  <c r="M25" i="41"/>
  <c r="K25" i="41"/>
  <c r="X24" i="41"/>
  <c r="W24" i="41"/>
  <c r="V24" i="41"/>
  <c r="U24" i="41"/>
  <c r="T24" i="41"/>
  <c r="S24" i="41"/>
  <c r="Q24" i="41"/>
  <c r="O24" i="41"/>
  <c r="M24" i="41"/>
  <c r="K24" i="41"/>
  <c r="X23" i="41"/>
  <c r="W23" i="41"/>
  <c r="V23" i="41"/>
  <c r="U23" i="41"/>
  <c r="T23" i="41"/>
  <c r="S23" i="41"/>
  <c r="Q23" i="41"/>
  <c r="O23" i="41"/>
  <c r="M23" i="41"/>
  <c r="K23" i="41"/>
  <c r="X22" i="41"/>
  <c r="W22" i="41"/>
  <c r="V22" i="41"/>
  <c r="U22" i="41"/>
  <c r="T22" i="41"/>
  <c r="S22" i="41"/>
  <c r="Q22" i="41"/>
  <c r="O22" i="41"/>
  <c r="M22" i="41"/>
  <c r="K22" i="41"/>
  <c r="X21" i="41"/>
  <c r="W21" i="41"/>
  <c r="V21" i="41"/>
  <c r="U21" i="41"/>
  <c r="T21" i="41"/>
  <c r="S21" i="41"/>
  <c r="Q21" i="41"/>
  <c r="O21" i="41"/>
  <c r="M21" i="41"/>
  <c r="K21" i="41"/>
  <c r="X20" i="41"/>
  <c r="W20" i="41"/>
  <c r="V20" i="41"/>
  <c r="U20" i="41"/>
  <c r="T20" i="41"/>
  <c r="S20" i="41"/>
  <c r="Q20" i="41"/>
  <c r="O20" i="41"/>
  <c r="M20" i="41"/>
  <c r="K20" i="41"/>
  <c r="X19" i="41"/>
  <c r="W19" i="41"/>
  <c r="V19" i="41"/>
  <c r="U19" i="41"/>
  <c r="T19" i="41"/>
  <c r="S19" i="41"/>
  <c r="Q19" i="41"/>
  <c r="O19" i="41"/>
  <c r="M19" i="41"/>
  <c r="K19" i="41"/>
  <c r="X18" i="41"/>
  <c r="W18" i="41"/>
  <c r="V18" i="41"/>
  <c r="U18" i="41"/>
  <c r="T18" i="41"/>
  <c r="S18" i="41"/>
  <c r="Q18" i="41"/>
  <c r="O18" i="41"/>
  <c r="M18" i="41"/>
  <c r="K18" i="41"/>
  <c r="X17" i="41"/>
  <c r="W17" i="41"/>
  <c r="V17" i="41"/>
  <c r="U17" i="41"/>
  <c r="T17" i="41"/>
  <c r="S17" i="41"/>
  <c r="Q17" i="41"/>
  <c r="O17" i="41"/>
  <c r="M17" i="41"/>
  <c r="K17" i="41"/>
  <c r="X16" i="41"/>
  <c r="W16" i="41"/>
  <c r="V16" i="41"/>
  <c r="U16" i="41"/>
  <c r="T16" i="41"/>
  <c r="S16" i="41"/>
  <c r="Q16" i="41"/>
  <c r="O16" i="41"/>
  <c r="M16" i="41"/>
  <c r="K16" i="41"/>
  <c r="X15" i="41"/>
  <c r="W15" i="41"/>
  <c r="V15" i="41"/>
  <c r="U15" i="41"/>
  <c r="T15" i="41"/>
  <c r="S15" i="41"/>
  <c r="Q15" i="41"/>
  <c r="O15" i="41"/>
  <c r="M15" i="41"/>
  <c r="K15" i="41"/>
  <c r="X14" i="41"/>
  <c r="W14" i="41"/>
  <c r="V14" i="41"/>
  <c r="U14" i="41"/>
  <c r="T14" i="41"/>
  <c r="S14" i="41"/>
  <c r="Q14" i="41"/>
  <c r="O14" i="41"/>
  <c r="M14" i="41"/>
  <c r="K14" i="41"/>
  <c r="X13" i="41"/>
  <c r="W13" i="41"/>
  <c r="V13" i="41"/>
  <c r="U13" i="41"/>
  <c r="T13" i="41"/>
  <c r="S13" i="41"/>
  <c r="Q13" i="41"/>
  <c r="O13" i="41"/>
  <c r="M13" i="41"/>
  <c r="K13" i="41"/>
  <c r="X12" i="41"/>
  <c r="W12" i="41"/>
  <c r="V12" i="41"/>
  <c r="U12" i="41"/>
  <c r="T12" i="41"/>
  <c r="S12" i="41"/>
  <c r="Q12" i="41"/>
  <c r="O12" i="41"/>
  <c r="M12" i="41"/>
  <c r="K12" i="41"/>
  <c r="X11" i="41"/>
  <c r="W11" i="41"/>
  <c r="V11" i="41"/>
  <c r="U11" i="41"/>
  <c r="T11" i="41"/>
  <c r="S11" i="41"/>
  <c r="Q11" i="41"/>
  <c r="O11" i="41"/>
  <c r="M11" i="41"/>
  <c r="K11" i="41"/>
  <c r="X10" i="41"/>
  <c r="W10" i="41"/>
  <c r="V10" i="41"/>
  <c r="U10" i="41"/>
  <c r="T10" i="41"/>
  <c r="S10" i="41"/>
  <c r="Q10" i="41"/>
  <c r="O10" i="41"/>
  <c r="M10" i="41"/>
  <c r="K10" i="41"/>
  <c r="X9" i="41"/>
  <c r="W9" i="41"/>
  <c r="V9" i="41"/>
  <c r="U9" i="41"/>
  <c r="T9" i="41"/>
  <c r="S9" i="41"/>
  <c r="Q9" i="41"/>
  <c r="O9" i="41"/>
  <c r="M9" i="41"/>
  <c r="K9" i="41"/>
  <c r="X8" i="41"/>
  <c r="W8" i="41"/>
  <c r="V8" i="41"/>
  <c r="U8" i="41"/>
  <c r="T8" i="41"/>
  <c r="S8" i="41"/>
  <c r="Q8" i="41"/>
  <c r="O8" i="41"/>
  <c r="M8" i="41"/>
  <c r="K8" i="41"/>
  <c r="X7" i="41"/>
  <c r="W7" i="41"/>
  <c r="V7" i="41"/>
  <c r="U7" i="41"/>
  <c r="T7" i="41"/>
  <c r="S7" i="41"/>
  <c r="Q7" i="41"/>
  <c r="O7" i="41"/>
  <c r="M7" i="41"/>
  <c r="K7" i="41"/>
  <c r="K7" i="40"/>
  <c r="M7" i="40"/>
  <c r="O7" i="40"/>
  <c r="Q7" i="40"/>
  <c r="S7" i="40"/>
  <c r="T7" i="40"/>
  <c r="U7" i="40"/>
  <c r="V7" i="40"/>
  <c r="W7" i="40"/>
  <c r="X7" i="40"/>
  <c r="K8" i="40"/>
  <c r="M8" i="40"/>
  <c r="O8" i="40"/>
  <c r="Q8" i="40"/>
  <c r="S8" i="40"/>
  <c r="T8" i="40"/>
  <c r="U8" i="40"/>
  <c r="V8" i="40"/>
  <c r="W8" i="40"/>
  <c r="X8" i="40"/>
  <c r="K9" i="40"/>
  <c r="M9" i="40"/>
  <c r="O9" i="40"/>
  <c r="Q9" i="40"/>
  <c r="S9" i="40"/>
  <c r="T9" i="40"/>
  <c r="U9" i="40"/>
  <c r="V9" i="40"/>
  <c r="W9" i="40"/>
  <c r="X9" i="40"/>
  <c r="K10" i="40"/>
  <c r="M10" i="40"/>
  <c r="O10" i="40"/>
  <c r="Q10" i="40"/>
  <c r="S10" i="40"/>
  <c r="T10" i="40"/>
  <c r="U10" i="40"/>
  <c r="V10" i="40"/>
  <c r="W10" i="40"/>
  <c r="X10" i="40"/>
  <c r="K11" i="40"/>
  <c r="M11" i="40"/>
  <c r="O11" i="40"/>
  <c r="Q11" i="40"/>
  <c r="S11" i="40"/>
  <c r="T11" i="40"/>
  <c r="U11" i="40"/>
  <c r="V11" i="40"/>
  <c r="W11" i="40"/>
  <c r="X11" i="40"/>
  <c r="K12" i="40"/>
  <c r="M12" i="40"/>
  <c r="O12" i="40"/>
  <c r="Q12" i="40"/>
  <c r="S12" i="40"/>
  <c r="T12" i="40"/>
  <c r="U12" i="40"/>
  <c r="V12" i="40"/>
  <c r="W12" i="40"/>
  <c r="X12" i="40"/>
  <c r="K13" i="40"/>
  <c r="M13" i="40"/>
  <c r="O13" i="40"/>
  <c r="Q13" i="40"/>
  <c r="S13" i="40"/>
  <c r="T13" i="40"/>
  <c r="U13" i="40"/>
  <c r="V13" i="40"/>
  <c r="W13" i="40"/>
  <c r="X13" i="40"/>
  <c r="K14" i="40"/>
  <c r="M14" i="40"/>
  <c r="O14" i="40"/>
  <c r="Q14" i="40"/>
  <c r="S14" i="40"/>
  <c r="T14" i="40"/>
  <c r="U14" i="40"/>
  <c r="V14" i="40"/>
  <c r="W14" i="40"/>
  <c r="X14" i="40"/>
  <c r="K15" i="40"/>
  <c r="M15" i="40"/>
  <c r="O15" i="40"/>
  <c r="Q15" i="40"/>
  <c r="S15" i="40"/>
  <c r="T15" i="40"/>
  <c r="U15" i="40"/>
  <c r="V15" i="40"/>
  <c r="W15" i="40"/>
  <c r="X15" i="40"/>
  <c r="K16" i="40"/>
  <c r="M16" i="40"/>
  <c r="O16" i="40"/>
  <c r="Q16" i="40"/>
  <c r="S16" i="40"/>
  <c r="T16" i="40"/>
  <c r="U16" i="40"/>
  <c r="V16" i="40"/>
  <c r="W16" i="40"/>
  <c r="X16" i="40"/>
  <c r="K17" i="40"/>
  <c r="M17" i="40"/>
  <c r="O17" i="40"/>
  <c r="Q17" i="40"/>
  <c r="S17" i="40"/>
  <c r="T17" i="40"/>
  <c r="U17" i="40"/>
  <c r="V17" i="40"/>
  <c r="W17" i="40"/>
  <c r="X17" i="40"/>
  <c r="K18" i="40"/>
  <c r="M18" i="40"/>
  <c r="O18" i="40"/>
  <c r="Q18" i="40"/>
  <c r="S18" i="40"/>
  <c r="T18" i="40"/>
  <c r="U18" i="40"/>
  <c r="V18" i="40"/>
  <c r="W18" i="40"/>
  <c r="X18" i="40"/>
  <c r="K19" i="40"/>
  <c r="M19" i="40"/>
  <c r="O19" i="40"/>
  <c r="Q19" i="40"/>
  <c r="S19" i="40"/>
  <c r="T19" i="40"/>
  <c r="U19" i="40"/>
  <c r="V19" i="40"/>
  <c r="W19" i="40"/>
  <c r="X19" i="40"/>
  <c r="K20" i="40"/>
  <c r="M20" i="40"/>
  <c r="O20" i="40"/>
  <c r="Q20" i="40"/>
  <c r="S20" i="40"/>
  <c r="T20" i="40"/>
  <c r="U20" i="40"/>
  <c r="V20" i="40"/>
  <c r="W20" i="40"/>
  <c r="X20" i="40"/>
  <c r="K21" i="40"/>
  <c r="M21" i="40"/>
  <c r="O21" i="40"/>
  <c r="Q21" i="40"/>
  <c r="S21" i="40"/>
  <c r="T21" i="40"/>
  <c r="U21" i="40"/>
  <c r="V21" i="40"/>
  <c r="W21" i="40"/>
  <c r="X21" i="40"/>
  <c r="K22" i="40"/>
  <c r="M22" i="40"/>
  <c r="O22" i="40"/>
  <c r="Q22" i="40"/>
  <c r="S22" i="40"/>
  <c r="T22" i="40"/>
  <c r="U22" i="40"/>
  <c r="V22" i="40"/>
  <c r="W22" i="40"/>
  <c r="X22" i="40"/>
  <c r="K23" i="40"/>
  <c r="M23" i="40"/>
  <c r="O23" i="40"/>
  <c r="Q23" i="40"/>
  <c r="S23" i="40"/>
  <c r="T23" i="40"/>
  <c r="U23" i="40"/>
  <c r="V23" i="40"/>
  <c r="W23" i="40"/>
  <c r="X23" i="40"/>
  <c r="K24" i="40"/>
  <c r="M24" i="40"/>
  <c r="O24" i="40"/>
  <c r="Q24" i="40"/>
  <c r="S24" i="40"/>
  <c r="T24" i="40"/>
  <c r="U24" i="40"/>
  <c r="V24" i="40"/>
  <c r="W24" i="40"/>
  <c r="X24" i="40"/>
  <c r="K25" i="40"/>
  <c r="M25" i="40"/>
  <c r="O25" i="40"/>
  <c r="Q25" i="40"/>
  <c r="S25" i="40"/>
  <c r="T25" i="40"/>
  <c r="U25" i="40"/>
  <c r="V25" i="40"/>
  <c r="W25" i="40"/>
  <c r="X25" i="40"/>
  <c r="K26" i="40"/>
  <c r="M26" i="40"/>
  <c r="O26" i="40"/>
  <c r="Q26" i="40"/>
  <c r="S26" i="40"/>
  <c r="T26" i="40"/>
  <c r="U26" i="40"/>
  <c r="V26" i="40"/>
  <c r="W26" i="40"/>
  <c r="X26" i="40"/>
  <c r="K27" i="40"/>
  <c r="M27" i="40"/>
  <c r="O27" i="40"/>
  <c r="Q27" i="40"/>
  <c r="S27" i="40"/>
  <c r="T27" i="40"/>
  <c r="U27" i="40"/>
  <c r="V27" i="40"/>
  <c r="W27" i="40"/>
  <c r="X27" i="40"/>
  <c r="K28" i="40"/>
  <c r="M28" i="40"/>
  <c r="O28" i="40"/>
  <c r="Q28" i="40"/>
  <c r="S28" i="40"/>
  <c r="T28" i="40"/>
  <c r="U28" i="40"/>
  <c r="V28" i="40"/>
  <c r="W28" i="40"/>
  <c r="X28" i="40"/>
  <c r="K29" i="40"/>
  <c r="M29" i="40"/>
  <c r="O29" i="40"/>
  <c r="Q29" i="40"/>
  <c r="S29" i="40"/>
  <c r="T29" i="40"/>
  <c r="U29" i="40"/>
  <c r="V29" i="40"/>
  <c r="W29" i="40"/>
  <c r="X29" i="40"/>
  <c r="K30" i="40"/>
  <c r="M30" i="40"/>
  <c r="O30" i="40"/>
  <c r="Q30" i="40"/>
  <c r="S30" i="40"/>
  <c r="T30" i="40"/>
  <c r="U30" i="40"/>
  <c r="V30" i="40"/>
  <c r="W30" i="40"/>
  <c r="X30" i="40"/>
  <c r="K31" i="40"/>
  <c r="M31" i="40"/>
  <c r="O31" i="40"/>
  <c r="Q31" i="40"/>
  <c r="S31" i="40"/>
  <c r="T31" i="40"/>
  <c r="U31" i="40"/>
  <c r="V31" i="40"/>
  <c r="W31" i="40"/>
  <c r="X31" i="40"/>
  <c r="K32" i="40"/>
  <c r="M32" i="40"/>
  <c r="O32" i="40"/>
  <c r="Q32" i="40"/>
  <c r="S32" i="40"/>
  <c r="T32" i="40"/>
  <c r="U32" i="40"/>
  <c r="V32" i="40"/>
  <c r="W32" i="40"/>
  <c r="X32" i="40"/>
  <c r="K33" i="40"/>
  <c r="M33" i="40"/>
  <c r="O33" i="40"/>
  <c r="Q33" i="40"/>
  <c r="S33" i="40"/>
  <c r="T33" i="40"/>
  <c r="U33" i="40"/>
  <c r="V33" i="40"/>
  <c r="W33" i="40"/>
  <c r="X33" i="40"/>
  <c r="K34" i="40"/>
  <c r="M34" i="40"/>
  <c r="O34" i="40"/>
  <c r="Q34" i="40"/>
  <c r="S34" i="40"/>
  <c r="T34" i="40"/>
  <c r="U34" i="40"/>
  <c r="V34" i="40"/>
  <c r="W34" i="40"/>
  <c r="X34" i="40"/>
  <c r="K35" i="40"/>
  <c r="M35" i="40"/>
  <c r="O35" i="40"/>
  <c r="Q35" i="40"/>
  <c r="S35" i="40"/>
  <c r="T35" i="40"/>
  <c r="U35" i="40"/>
  <c r="V35" i="40"/>
  <c r="W35" i="40"/>
  <c r="X35" i="40"/>
  <c r="K36" i="40"/>
  <c r="M36" i="40"/>
  <c r="O36" i="40"/>
  <c r="Q36" i="40"/>
  <c r="S36" i="40"/>
  <c r="T36" i="40"/>
  <c r="U36" i="40"/>
  <c r="V36" i="40"/>
  <c r="W36" i="40"/>
  <c r="X36" i="40"/>
  <c r="K37" i="40"/>
  <c r="M37" i="40"/>
  <c r="O37" i="40"/>
  <c r="Q37" i="40"/>
  <c r="S37" i="40"/>
  <c r="T37" i="40"/>
  <c r="U37" i="40"/>
  <c r="V37" i="40"/>
  <c r="W37" i="40"/>
  <c r="X37" i="40"/>
  <c r="K38" i="40"/>
  <c r="M38" i="40"/>
  <c r="O38" i="40"/>
  <c r="Q38" i="40"/>
  <c r="S38" i="40"/>
  <c r="T38" i="40"/>
  <c r="U38" i="40"/>
  <c r="V38" i="40"/>
  <c r="W38" i="40"/>
  <c r="X38" i="40"/>
  <c r="K39" i="40"/>
  <c r="M39" i="40"/>
  <c r="O39" i="40"/>
  <c r="Q39" i="40"/>
  <c r="S39" i="40"/>
  <c r="T39" i="40"/>
  <c r="U39" i="40"/>
  <c r="V39" i="40"/>
  <c r="W39" i="40"/>
  <c r="X39" i="40"/>
  <c r="K40" i="40"/>
  <c r="M40" i="40"/>
  <c r="O40" i="40"/>
  <c r="Q40" i="40"/>
  <c r="S40" i="40"/>
  <c r="T40" i="40"/>
  <c r="U40" i="40"/>
  <c r="V40" i="40"/>
  <c r="W40" i="40"/>
  <c r="X40" i="40"/>
  <c r="K41" i="40"/>
  <c r="M41" i="40"/>
  <c r="O41" i="40"/>
  <c r="Q41" i="40"/>
  <c r="S41" i="40"/>
  <c r="T41" i="40"/>
  <c r="U41" i="40"/>
  <c r="V41" i="40"/>
  <c r="W41" i="40"/>
  <c r="X41" i="40"/>
  <c r="K42" i="40"/>
  <c r="M42" i="40"/>
  <c r="O42" i="40"/>
  <c r="Q42" i="40"/>
  <c r="S42" i="40"/>
  <c r="T42" i="40"/>
  <c r="U42" i="40"/>
  <c r="V42" i="40"/>
  <c r="W42" i="40"/>
  <c r="X42" i="40"/>
  <c r="K43" i="40"/>
  <c r="M43" i="40"/>
  <c r="O43" i="40"/>
  <c r="Q43" i="40"/>
  <c r="S43" i="40"/>
  <c r="T43" i="40"/>
  <c r="U43" i="40"/>
  <c r="V43" i="40"/>
  <c r="W43" i="40"/>
  <c r="X43" i="40"/>
  <c r="K44" i="40"/>
  <c r="M44" i="40"/>
  <c r="O44" i="40"/>
  <c r="Q44" i="40"/>
  <c r="S44" i="40"/>
  <c r="T44" i="40"/>
  <c r="U44" i="40"/>
  <c r="V44" i="40"/>
  <c r="W44" i="40"/>
  <c r="X44" i="40"/>
  <c r="K45" i="40"/>
  <c r="M45" i="40"/>
  <c r="O45" i="40"/>
  <c r="Q45" i="40"/>
  <c r="S45" i="40"/>
  <c r="T45" i="40"/>
  <c r="U45" i="40"/>
  <c r="V45" i="40"/>
  <c r="W45" i="40"/>
  <c r="X45" i="40"/>
  <c r="K46" i="40"/>
  <c r="M46" i="40"/>
  <c r="O46" i="40"/>
  <c r="Q46" i="40"/>
  <c r="S46" i="40"/>
  <c r="T46" i="40"/>
  <c r="U46" i="40"/>
  <c r="V46" i="40"/>
  <c r="W46" i="40"/>
  <c r="X46" i="40"/>
  <c r="K47" i="40"/>
  <c r="M47" i="40"/>
  <c r="O47" i="40"/>
  <c r="Q47" i="40"/>
  <c r="S47" i="40"/>
  <c r="T47" i="40"/>
  <c r="U47" i="40"/>
  <c r="V47" i="40"/>
  <c r="W47" i="40"/>
  <c r="X47" i="40"/>
  <c r="K48" i="40"/>
  <c r="M48" i="40"/>
  <c r="O48" i="40"/>
  <c r="Q48" i="40"/>
  <c r="S48" i="40"/>
  <c r="T48" i="40"/>
  <c r="U48" i="40"/>
  <c r="V48" i="40"/>
  <c r="W48" i="40"/>
  <c r="X48" i="40"/>
  <c r="K49" i="40"/>
  <c r="M49" i="40"/>
  <c r="O49" i="40"/>
  <c r="Q49" i="40"/>
  <c r="S49" i="40"/>
  <c r="T49" i="40"/>
  <c r="U49" i="40"/>
  <c r="V49" i="40"/>
  <c r="W49" i="40"/>
  <c r="X49" i="40"/>
  <c r="K50" i="40"/>
  <c r="M50" i="40"/>
  <c r="O50" i="40"/>
  <c r="Q50" i="40"/>
  <c r="S50" i="40"/>
  <c r="T50" i="40"/>
  <c r="U50" i="40"/>
  <c r="V50" i="40"/>
  <c r="W50" i="40"/>
  <c r="X50" i="40"/>
  <c r="K51" i="40"/>
  <c r="M51" i="40"/>
  <c r="O51" i="40"/>
  <c r="Q51" i="40"/>
  <c r="S51" i="40"/>
  <c r="T51" i="40"/>
  <c r="U51" i="40"/>
  <c r="V51" i="40"/>
  <c r="W51" i="40"/>
  <c r="X51" i="40"/>
  <c r="K52" i="40"/>
  <c r="M52" i="40"/>
  <c r="O52" i="40"/>
  <c r="Q52" i="40"/>
  <c r="S52" i="40"/>
  <c r="T52" i="40"/>
  <c r="U52" i="40"/>
  <c r="V52" i="40"/>
  <c r="W52" i="40"/>
  <c r="X52" i="40"/>
  <c r="K53" i="40"/>
  <c r="M53" i="40"/>
  <c r="O53" i="40"/>
  <c r="Q53" i="40"/>
  <c r="S53" i="40"/>
  <c r="T53" i="40"/>
  <c r="U53" i="40"/>
  <c r="V53" i="40"/>
  <c r="W53" i="40"/>
  <c r="X53" i="40"/>
  <c r="K54" i="40"/>
  <c r="M54" i="40"/>
  <c r="O54" i="40"/>
  <c r="Q54" i="40"/>
  <c r="S54" i="40"/>
  <c r="T54" i="40"/>
  <c r="U54" i="40"/>
  <c r="V54" i="40"/>
  <c r="W54" i="40"/>
  <c r="X54" i="40"/>
  <c r="K55" i="40"/>
  <c r="M55" i="40"/>
  <c r="O55" i="40"/>
  <c r="Q55" i="40"/>
  <c r="S55" i="40"/>
  <c r="T55" i="40"/>
  <c r="U55" i="40"/>
  <c r="V55" i="40"/>
  <c r="W55" i="40"/>
  <c r="X55" i="40"/>
  <c r="K56" i="40"/>
  <c r="M56" i="40"/>
  <c r="O56" i="40"/>
  <c r="Q56" i="40"/>
  <c r="S56" i="40"/>
  <c r="T56" i="40"/>
  <c r="U56" i="40"/>
  <c r="V56" i="40"/>
  <c r="W56" i="40"/>
  <c r="X56" i="40"/>
  <c r="K57" i="40"/>
  <c r="M57" i="40"/>
  <c r="O57" i="40"/>
  <c r="Q57" i="40"/>
  <c r="S57" i="40"/>
  <c r="T57" i="40"/>
  <c r="U57" i="40"/>
  <c r="V57" i="40"/>
  <c r="W57" i="40"/>
  <c r="X57" i="40"/>
  <c r="K58" i="40"/>
  <c r="M58" i="40"/>
  <c r="O58" i="40"/>
  <c r="Q58" i="40"/>
  <c r="S58" i="40"/>
  <c r="T58" i="40"/>
  <c r="U58" i="40"/>
  <c r="V58" i="40"/>
  <c r="W58" i="40"/>
  <c r="X58" i="40"/>
  <c r="K59" i="40"/>
  <c r="M59" i="40"/>
  <c r="O59" i="40"/>
  <c r="Q59" i="40"/>
  <c r="S59" i="40"/>
  <c r="T59" i="40"/>
  <c r="U59" i="40"/>
  <c r="V59" i="40"/>
  <c r="W59" i="40"/>
  <c r="X59" i="40"/>
  <c r="K60" i="40"/>
  <c r="M60" i="40"/>
  <c r="O60" i="40"/>
  <c r="Q60" i="40"/>
  <c r="S60" i="40"/>
  <c r="T60" i="40"/>
  <c r="U60" i="40"/>
  <c r="V60" i="40"/>
  <c r="W60" i="40"/>
  <c r="X60" i="40"/>
  <c r="K61" i="40"/>
  <c r="M61" i="40"/>
  <c r="O61" i="40"/>
  <c r="Q61" i="40"/>
  <c r="S61" i="40"/>
  <c r="T61" i="40"/>
  <c r="U61" i="40"/>
  <c r="V61" i="40"/>
  <c r="W61" i="40"/>
  <c r="X61" i="40"/>
  <c r="K62" i="40"/>
  <c r="M62" i="40"/>
  <c r="O62" i="40"/>
  <c r="Q62" i="40"/>
  <c r="S62" i="40"/>
  <c r="T62" i="40"/>
  <c r="U62" i="40"/>
  <c r="V62" i="40"/>
  <c r="W62" i="40"/>
  <c r="X62" i="40"/>
  <c r="K63" i="40"/>
  <c r="M63" i="40"/>
  <c r="O63" i="40"/>
  <c r="Q63" i="40"/>
  <c r="S63" i="40"/>
  <c r="T63" i="40"/>
  <c r="U63" i="40"/>
  <c r="V63" i="40"/>
  <c r="W63" i="40"/>
  <c r="X63" i="40"/>
  <c r="K64" i="40"/>
  <c r="M64" i="40"/>
  <c r="O64" i="40"/>
  <c r="Q64" i="40"/>
  <c r="S64" i="40"/>
  <c r="T64" i="40"/>
  <c r="U64" i="40"/>
  <c r="V64" i="40"/>
  <c r="W64" i="40"/>
  <c r="X64" i="40"/>
  <c r="K65" i="40"/>
  <c r="M65" i="40"/>
  <c r="O65" i="40"/>
  <c r="Q65" i="40"/>
  <c r="S65" i="40"/>
  <c r="T65" i="40"/>
  <c r="U65" i="40"/>
  <c r="V65" i="40"/>
  <c r="W65" i="40"/>
  <c r="X65" i="40"/>
  <c r="K66" i="40"/>
  <c r="M66" i="40"/>
  <c r="O66" i="40"/>
  <c r="Q66" i="40"/>
  <c r="S66" i="40"/>
  <c r="T66" i="40"/>
  <c r="U66" i="40"/>
  <c r="V66" i="40"/>
  <c r="W66" i="40"/>
  <c r="X66" i="40"/>
  <c r="K67" i="40"/>
  <c r="M67" i="40"/>
  <c r="O67" i="40"/>
  <c r="Q67" i="40"/>
  <c r="S67" i="40"/>
  <c r="T67" i="40"/>
  <c r="U67" i="40"/>
  <c r="V67" i="40"/>
  <c r="W67" i="40"/>
  <c r="X67" i="40"/>
  <c r="K68" i="40"/>
  <c r="M68" i="40"/>
  <c r="O68" i="40"/>
  <c r="Q68" i="40"/>
  <c r="S68" i="40"/>
  <c r="T68" i="40"/>
  <c r="U68" i="40"/>
  <c r="V68" i="40"/>
  <c r="W68" i="40"/>
  <c r="X68" i="40"/>
  <c r="K69" i="40"/>
  <c r="M69" i="40"/>
  <c r="O69" i="40"/>
  <c r="Q69" i="40"/>
  <c r="S69" i="40"/>
  <c r="T69" i="40"/>
  <c r="U69" i="40"/>
  <c r="V69" i="40"/>
  <c r="W69" i="40"/>
  <c r="X69" i="40"/>
  <c r="K70" i="40"/>
  <c r="M70" i="40"/>
  <c r="O70" i="40"/>
  <c r="Q70" i="40"/>
  <c r="S70" i="40"/>
  <c r="T70" i="40"/>
  <c r="U70" i="40"/>
  <c r="V70" i="40"/>
  <c r="W70" i="40"/>
  <c r="X70" i="40"/>
  <c r="K71" i="40"/>
  <c r="M71" i="40"/>
  <c r="O71" i="40"/>
  <c r="Q71" i="40"/>
  <c r="S71" i="40"/>
  <c r="T71" i="40"/>
  <c r="U71" i="40"/>
  <c r="V71" i="40"/>
  <c r="W71" i="40"/>
  <c r="X71" i="40"/>
  <c r="K72" i="40"/>
  <c r="M72" i="40"/>
  <c r="O72" i="40"/>
  <c r="Q72" i="40"/>
  <c r="S72" i="40"/>
  <c r="T72" i="40"/>
  <c r="U72" i="40"/>
  <c r="V72" i="40"/>
  <c r="W72" i="40"/>
  <c r="X72" i="40"/>
  <c r="K73" i="40"/>
  <c r="M73" i="40"/>
  <c r="O73" i="40"/>
  <c r="Q73" i="40"/>
  <c r="S73" i="40"/>
  <c r="T73" i="40"/>
  <c r="U73" i="40"/>
  <c r="V73" i="40"/>
  <c r="W73" i="40"/>
  <c r="X73" i="40"/>
  <c r="K74" i="40"/>
  <c r="M74" i="40"/>
  <c r="O74" i="40"/>
  <c r="Q74" i="40"/>
  <c r="S74" i="40"/>
  <c r="T74" i="40"/>
  <c r="U74" i="40"/>
  <c r="V74" i="40"/>
  <c r="W74" i="40"/>
  <c r="X74" i="40"/>
  <c r="K75" i="40"/>
  <c r="M75" i="40"/>
  <c r="O75" i="40"/>
  <c r="Q75" i="40"/>
  <c r="S75" i="40"/>
  <c r="T75" i="40"/>
  <c r="U75" i="40"/>
  <c r="V75" i="40"/>
  <c r="W75" i="40"/>
  <c r="X75" i="40"/>
  <c r="K76" i="40"/>
  <c r="M76" i="40"/>
  <c r="O76" i="40"/>
  <c r="Q76" i="40"/>
  <c r="S76" i="40"/>
  <c r="T76" i="40"/>
  <c r="U76" i="40"/>
  <c r="V76" i="40"/>
  <c r="W76" i="40"/>
  <c r="X76" i="40"/>
  <c r="K77" i="40"/>
  <c r="M77" i="40"/>
  <c r="O77" i="40"/>
  <c r="Q77" i="40"/>
  <c r="S77" i="40"/>
  <c r="T77" i="40"/>
  <c r="U77" i="40"/>
  <c r="V77" i="40"/>
  <c r="W77" i="40"/>
  <c r="X77" i="40"/>
  <c r="K78" i="40"/>
  <c r="M78" i="40"/>
  <c r="O78" i="40"/>
  <c r="Q78" i="40"/>
  <c r="S78" i="40"/>
  <c r="T78" i="40"/>
  <c r="U78" i="40"/>
  <c r="V78" i="40"/>
  <c r="W78" i="40"/>
  <c r="X78" i="40"/>
  <c r="K79" i="40"/>
  <c r="M79" i="40"/>
  <c r="O79" i="40"/>
  <c r="Q79" i="40"/>
  <c r="S79" i="40"/>
  <c r="T79" i="40"/>
  <c r="U79" i="40"/>
  <c r="V79" i="40"/>
  <c r="W79" i="40"/>
  <c r="X79" i="40"/>
  <c r="K80" i="40"/>
  <c r="M80" i="40"/>
  <c r="O80" i="40"/>
  <c r="Q80" i="40"/>
  <c r="S80" i="40"/>
  <c r="T80" i="40"/>
  <c r="U80" i="40"/>
  <c r="V80" i="40"/>
  <c r="W80" i="40"/>
  <c r="X80" i="40"/>
  <c r="K81" i="40"/>
  <c r="M81" i="40"/>
  <c r="O81" i="40"/>
  <c r="Q81" i="40"/>
  <c r="S81" i="40"/>
  <c r="T81" i="40"/>
  <c r="U81" i="40"/>
  <c r="V81" i="40"/>
  <c r="W81" i="40"/>
  <c r="X81" i="40"/>
  <c r="K82" i="40"/>
  <c r="M82" i="40"/>
  <c r="O82" i="40"/>
  <c r="Q82" i="40"/>
  <c r="S82" i="40"/>
  <c r="T82" i="40"/>
  <c r="U82" i="40"/>
  <c r="V82" i="40"/>
  <c r="W82" i="40"/>
  <c r="X82" i="40"/>
  <c r="K83" i="40"/>
  <c r="M83" i="40"/>
  <c r="O83" i="40"/>
  <c r="Q83" i="40"/>
  <c r="S83" i="40"/>
  <c r="T83" i="40"/>
  <c r="U83" i="40"/>
  <c r="V83" i="40"/>
  <c r="W83" i="40"/>
  <c r="X83" i="40"/>
  <c r="K84" i="40"/>
  <c r="M84" i="40"/>
  <c r="O84" i="40"/>
  <c r="Q84" i="40"/>
  <c r="S84" i="40"/>
  <c r="T84" i="40"/>
  <c r="U84" i="40"/>
  <c r="V84" i="40"/>
  <c r="W84" i="40"/>
  <c r="X84" i="40"/>
  <c r="K85" i="40"/>
  <c r="M85" i="40"/>
  <c r="O85" i="40"/>
  <c r="Q85" i="40"/>
  <c r="S85" i="40"/>
  <c r="T85" i="40"/>
  <c r="U85" i="40"/>
  <c r="V85" i="40"/>
  <c r="W85" i="40"/>
  <c r="X85" i="40"/>
  <c r="K86" i="40"/>
  <c r="M86" i="40"/>
  <c r="O86" i="40"/>
  <c r="Q86" i="40"/>
  <c r="S86" i="40"/>
  <c r="T86" i="40"/>
  <c r="U86" i="40"/>
  <c r="V86" i="40"/>
  <c r="W86" i="40"/>
  <c r="X86" i="40"/>
  <c r="K87" i="40"/>
  <c r="M87" i="40"/>
  <c r="O87" i="40"/>
  <c r="Q87" i="40"/>
  <c r="S87" i="40"/>
  <c r="T87" i="40"/>
  <c r="U87" i="40"/>
  <c r="V87" i="40"/>
  <c r="W87" i="40"/>
  <c r="X87" i="40"/>
  <c r="K88" i="40"/>
  <c r="M88" i="40"/>
  <c r="O88" i="40"/>
  <c r="Q88" i="40"/>
  <c r="S88" i="40"/>
  <c r="T88" i="40"/>
  <c r="U88" i="40"/>
  <c r="V88" i="40"/>
  <c r="W88" i="40"/>
  <c r="X88" i="40"/>
  <c r="K89" i="40"/>
  <c r="M89" i="40"/>
  <c r="O89" i="40"/>
  <c r="Q89" i="40"/>
  <c r="S89" i="40"/>
  <c r="T89" i="40"/>
  <c r="U89" i="40"/>
  <c r="V89" i="40"/>
  <c r="W89" i="40"/>
  <c r="X89" i="40"/>
  <c r="K90" i="40"/>
  <c r="M90" i="40"/>
  <c r="O90" i="40"/>
  <c r="Q90" i="40"/>
  <c r="S90" i="40"/>
  <c r="T90" i="40"/>
  <c r="U90" i="40"/>
  <c r="V90" i="40"/>
  <c r="W90" i="40"/>
  <c r="X90" i="40"/>
  <c r="K91" i="40"/>
  <c r="M91" i="40"/>
  <c r="O91" i="40"/>
  <c r="Q91" i="40"/>
  <c r="S91" i="40"/>
  <c r="T91" i="40"/>
  <c r="U91" i="40"/>
  <c r="V91" i="40"/>
  <c r="W91" i="40"/>
  <c r="X91" i="40"/>
  <c r="K92" i="40"/>
  <c r="M92" i="40"/>
  <c r="O92" i="40"/>
  <c r="Q92" i="40"/>
  <c r="S92" i="40"/>
  <c r="T92" i="40"/>
  <c r="U92" i="40"/>
  <c r="V92" i="40"/>
  <c r="W92" i="40"/>
  <c r="X92" i="40"/>
  <c r="K93" i="40"/>
  <c r="M93" i="40"/>
  <c r="O93" i="40"/>
  <c r="Q93" i="40"/>
  <c r="S93" i="40"/>
  <c r="T93" i="40"/>
  <c r="U93" i="40"/>
  <c r="V93" i="40"/>
  <c r="W93" i="40"/>
  <c r="X93" i="40"/>
  <c r="K94" i="40"/>
  <c r="M94" i="40"/>
  <c r="O94" i="40"/>
  <c r="Q94" i="40"/>
  <c r="S94" i="40"/>
  <c r="T94" i="40"/>
  <c r="U94" i="40"/>
  <c r="V94" i="40"/>
  <c r="W94" i="40"/>
  <c r="X94" i="40"/>
  <c r="K95" i="40"/>
  <c r="M95" i="40"/>
  <c r="O95" i="40"/>
  <c r="Q95" i="40"/>
  <c r="S95" i="40"/>
  <c r="T95" i="40"/>
  <c r="U95" i="40"/>
  <c r="V95" i="40"/>
  <c r="W95" i="40"/>
  <c r="X95" i="40"/>
  <c r="K96" i="40"/>
  <c r="M96" i="40"/>
  <c r="O96" i="40"/>
  <c r="Q96" i="40"/>
  <c r="S96" i="40"/>
  <c r="T96" i="40"/>
  <c r="U96" i="40"/>
  <c r="V96" i="40"/>
  <c r="W96" i="40"/>
  <c r="X96" i="40"/>
  <c r="K97" i="40"/>
  <c r="M97" i="40"/>
  <c r="O97" i="40"/>
  <c r="Q97" i="40"/>
  <c r="S97" i="40"/>
  <c r="T97" i="40"/>
  <c r="U97" i="40"/>
  <c r="V97" i="40"/>
  <c r="W97" i="40"/>
  <c r="X97" i="40"/>
  <c r="K98" i="40"/>
  <c r="M98" i="40"/>
  <c r="O98" i="40"/>
  <c r="Q98" i="40"/>
  <c r="S98" i="40"/>
  <c r="T98" i="40"/>
  <c r="U98" i="40"/>
  <c r="V98" i="40"/>
  <c r="W98" i="40"/>
  <c r="X98" i="40"/>
  <c r="K99" i="40"/>
  <c r="M99" i="40"/>
  <c r="O99" i="40"/>
  <c r="Q99" i="40"/>
  <c r="S99" i="40"/>
  <c r="T99" i="40"/>
  <c r="U99" i="40"/>
  <c r="V99" i="40"/>
  <c r="W99" i="40"/>
  <c r="X99" i="40"/>
  <c r="K100" i="40"/>
  <c r="M100" i="40"/>
  <c r="O100" i="40"/>
  <c r="Q100" i="40"/>
  <c r="S100" i="40"/>
  <c r="T100" i="40"/>
  <c r="U100" i="40"/>
  <c r="V100" i="40"/>
  <c r="W100" i="40"/>
  <c r="X100" i="40"/>
  <c r="K101" i="40"/>
  <c r="M101" i="40"/>
  <c r="O101" i="40"/>
  <c r="Q101" i="40"/>
  <c r="S101" i="40"/>
  <c r="T101" i="40"/>
  <c r="U101" i="40"/>
  <c r="V101" i="40"/>
  <c r="W101" i="40"/>
  <c r="X101" i="40"/>
  <c r="K102" i="40"/>
  <c r="M102" i="40"/>
  <c r="O102" i="40"/>
  <c r="Q102" i="40"/>
  <c r="S102" i="40"/>
  <c r="T102" i="40"/>
  <c r="U102" i="40"/>
  <c r="V102" i="40"/>
  <c r="W102" i="40"/>
  <c r="X102" i="40"/>
  <c r="K103" i="40"/>
  <c r="M103" i="40"/>
  <c r="O103" i="40"/>
  <c r="Q103" i="40"/>
  <c r="S103" i="40"/>
  <c r="T103" i="40"/>
  <c r="U103" i="40"/>
  <c r="V103" i="40"/>
  <c r="W103" i="40"/>
  <c r="X103" i="40"/>
  <c r="K104" i="40"/>
  <c r="M104" i="40"/>
  <c r="O104" i="40"/>
  <c r="Q104" i="40"/>
  <c r="S104" i="40"/>
  <c r="T104" i="40"/>
  <c r="U104" i="40"/>
  <c r="V104" i="40"/>
  <c r="W104" i="40"/>
  <c r="X104" i="40"/>
  <c r="K105" i="40"/>
  <c r="M105" i="40"/>
  <c r="O105" i="40"/>
  <c r="Q105" i="40"/>
  <c r="S105" i="40"/>
  <c r="T105" i="40"/>
  <c r="U105" i="40"/>
  <c r="V105" i="40"/>
  <c r="W105" i="40"/>
  <c r="X105" i="40"/>
  <c r="K106" i="40"/>
  <c r="M106" i="40"/>
  <c r="O106" i="40"/>
  <c r="Q106" i="40"/>
  <c r="S106" i="40"/>
  <c r="T106" i="40"/>
  <c r="U106" i="40"/>
  <c r="V106" i="40"/>
  <c r="W106" i="40"/>
  <c r="X106" i="40"/>
  <c r="K107" i="40"/>
  <c r="M107" i="40"/>
  <c r="O107" i="40"/>
  <c r="Q107" i="40"/>
  <c r="S107" i="40"/>
  <c r="T107" i="40"/>
  <c r="U107" i="40"/>
  <c r="V107" i="40"/>
  <c r="W107" i="40"/>
  <c r="X107" i="40"/>
  <c r="K108" i="40"/>
  <c r="M108" i="40"/>
  <c r="O108" i="40"/>
  <c r="Q108" i="40"/>
  <c r="S108" i="40"/>
  <c r="T108" i="40"/>
  <c r="U108" i="40"/>
  <c r="V108" i="40"/>
  <c r="W108" i="40"/>
  <c r="X108" i="40"/>
  <c r="K109" i="40"/>
  <c r="M109" i="40"/>
  <c r="O109" i="40"/>
  <c r="Q109" i="40"/>
  <c r="S109" i="40"/>
  <c r="T109" i="40"/>
  <c r="U109" i="40"/>
  <c r="V109" i="40"/>
  <c r="W109" i="40"/>
  <c r="X109" i="40"/>
  <c r="K110" i="40"/>
  <c r="M110" i="40"/>
  <c r="O110" i="40"/>
  <c r="Q110" i="40"/>
  <c r="S110" i="40"/>
  <c r="T110" i="40"/>
  <c r="U110" i="40"/>
  <c r="V110" i="40"/>
  <c r="W110" i="40"/>
  <c r="X110" i="40"/>
  <c r="K111" i="40"/>
  <c r="M111" i="40"/>
  <c r="O111" i="40"/>
  <c r="Q111" i="40"/>
  <c r="S111" i="40"/>
  <c r="T111" i="40"/>
  <c r="U111" i="40"/>
  <c r="V111" i="40"/>
  <c r="W111" i="40"/>
  <c r="X111" i="40"/>
  <c r="K112" i="40"/>
  <c r="M112" i="40"/>
  <c r="O112" i="40"/>
  <c r="Q112" i="40"/>
  <c r="S112" i="40"/>
  <c r="T112" i="40"/>
  <c r="U112" i="40"/>
  <c r="V112" i="40"/>
  <c r="W112" i="40"/>
  <c r="X112" i="40"/>
  <c r="K113" i="40"/>
  <c r="M113" i="40"/>
  <c r="O113" i="40"/>
  <c r="Q113" i="40"/>
  <c r="S113" i="40"/>
  <c r="T113" i="40"/>
  <c r="U113" i="40"/>
  <c r="V113" i="40"/>
  <c r="W113" i="40"/>
  <c r="X113" i="40"/>
  <c r="K114" i="40"/>
  <c r="M114" i="40"/>
  <c r="O114" i="40"/>
  <c r="Q114" i="40"/>
  <c r="S114" i="40"/>
  <c r="T114" i="40"/>
  <c r="U114" i="40"/>
  <c r="V114" i="40"/>
  <c r="W114" i="40"/>
  <c r="X114" i="40"/>
  <c r="K115" i="40"/>
  <c r="M115" i="40"/>
  <c r="O115" i="40"/>
  <c r="Q115" i="40"/>
  <c r="S115" i="40"/>
  <c r="T115" i="40"/>
  <c r="U115" i="40"/>
  <c r="V115" i="40"/>
  <c r="W115" i="40"/>
  <c r="X115" i="40"/>
  <c r="K116" i="40"/>
  <c r="M116" i="40"/>
  <c r="O116" i="40"/>
  <c r="Q116" i="40"/>
  <c r="S116" i="40"/>
  <c r="T116" i="40"/>
  <c r="U116" i="40"/>
  <c r="V116" i="40"/>
  <c r="W116" i="40"/>
  <c r="X116" i="40"/>
  <c r="K117" i="40"/>
  <c r="M117" i="40"/>
  <c r="O117" i="40"/>
  <c r="Q117" i="40"/>
  <c r="S117" i="40"/>
  <c r="T117" i="40"/>
  <c r="U117" i="40"/>
  <c r="V117" i="40"/>
  <c r="W117" i="40"/>
  <c r="X117" i="40"/>
  <c r="K118" i="40"/>
  <c r="M118" i="40"/>
  <c r="O118" i="40"/>
  <c r="Q118" i="40"/>
  <c r="S118" i="40"/>
  <c r="T118" i="40"/>
  <c r="U118" i="40"/>
  <c r="V118" i="40"/>
  <c r="W118" i="40"/>
  <c r="X118" i="40"/>
  <c r="K119" i="40"/>
  <c r="M119" i="40"/>
  <c r="O119" i="40"/>
  <c r="Q119" i="40"/>
  <c r="S119" i="40"/>
  <c r="T119" i="40"/>
  <c r="U119" i="40"/>
  <c r="V119" i="40"/>
  <c r="W119" i="40"/>
  <c r="X119" i="40"/>
  <c r="K120" i="40"/>
  <c r="M120" i="40"/>
  <c r="O120" i="40"/>
  <c r="Q120" i="40"/>
  <c r="S120" i="40"/>
  <c r="T120" i="40"/>
  <c r="U120" i="40"/>
  <c r="V120" i="40"/>
  <c r="W120" i="40"/>
  <c r="X120" i="40"/>
  <c r="K121" i="40"/>
  <c r="M121" i="40"/>
  <c r="O121" i="40"/>
  <c r="Q121" i="40"/>
  <c r="S121" i="40"/>
  <c r="T121" i="40"/>
  <c r="U121" i="40"/>
  <c r="V121" i="40"/>
  <c r="W121" i="40"/>
  <c r="X121" i="40"/>
  <c r="K122" i="40"/>
  <c r="M122" i="40"/>
  <c r="O122" i="40"/>
  <c r="Q122" i="40"/>
  <c r="S122" i="40"/>
  <c r="T122" i="40"/>
  <c r="U122" i="40"/>
  <c r="V122" i="40"/>
  <c r="W122" i="40"/>
  <c r="X122" i="40"/>
  <c r="K123" i="40"/>
  <c r="M123" i="40"/>
  <c r="O123" i="40"/>
  <c r="Q123" i="40"/>
  <c r="S123" i="40"/>
  <c r="T123" i="40"/>
  <c r="U123" i="40"/>
  <c r="V123" i="40"/>
  <c r="W123" i="40"/>
  <c r="X123" i="40"/>
  <c r="K124" i="40"/>
  <c r="M124" i="40"/>
  <c r="O124" i="40"/>
  <c r="Q124" i="40"/>
  <c r="S124" i="40"/>
  <c r="T124" i="40"/>
  <c r="U124" i="40"/>
  <c r="V124" i="40"/>
  <c r="W124" i="40"/>
  <c r="X124" i="40"/>
  <c r="K125" i="40"/>
  <c r="M125" i="40"/>
  <c r="O125" i="40"/>
  <c r="Q125" i="40"/>
  <c r="S125" i="40"/>
  <c r="T125" i="40"/>
  <c r="U125" i="40"/>
  <c r="V125" i="40"/>
  <c r="W125" i="40"/>
  <c r="X125" i="40"/>
  <c r="K126" i="40"/>
  <c r="M126" i="40"/>
  <c r="O126" i="40"/>
  <c r="Q126" i="40"/>
  <c r="S126" i="40"/>
  <c r="T126" i="40"/>
  <c r="U126" i="40"/>
  <c r="V126" i="40"/>
  <c r="W126" i="40"/>
  <c r="X126" i="40"/>
  <c r="K127" i="40"/>
  <c r="M127" i="40"/>
  <c r="O127" i="40"/>
  <c r="Q127" i="40"/>
  <c r="S127" i="40"/>
  <c r="T127" i="40"/>
  <c r="U127" i="40"/>
  <c r="V127" i="40"/>
  <c r="W127" i="40"/>
  <c r="X127" i="40"/>
  <c r="K128" i="40"/>
  <c r="M128" i="40"/>
  <c r="O128" i="40"/>
  <c r="Q128" i="40"/>
  <c r="S128" i="40"/>
  <c r="T128" i="40"/>
  <c r="U128" i="40"/>
  <c r="V128" i="40"/>
  <c r="W128" i="40"/>
  <c r="X128" i="40"/>
  <c r="K129" i="40"/>
  <c r="M129" i="40"/>
  <c r="O129" i="40"/>
  <c r="Q129" i="40"/>
  <c r="S129" i="40"/>
  <c r="T129" i="40"/>
  <c r="U129" i="40"/>
  <c r="V129" i="40"/>
  <c r="W129" i="40"/>
  <c r="X129" i="40"/>
  <c r="K130" i="40"/>
  <c r="M130" i="40"/>
  <c r="O130" i="40"/>
  <c r="Q130" i="40"/>
  <c r="S130" i="40"/>
  <c r="T130" i="40"/>
  <c r="U130" i="40"/>
  <c r="V130" i="40"/>
  <c r="W130" i="40"/>
  <c r="X130" i="40"/>
  <c r="K131" i="40"/>
  <c r="M131" i="40"/>
  <c r="O131" i="40"/>
  <c r="Q131" i="40"/>
  <c r="S131" i="40"/>
  <c r="T131" i="40"/>
  <c r="U131" i="40"/>
  <c r="V131" i="40"/>
  <c r="W131" i="40"/>
  <c r="X131" i="40"/>
  <c r="K132" i="40"/>
  <c r="M132" i="40"/>
  <c r="O132" i="40"/>
  <c r="Q132" i="40"/>
  <c r="S132" i="40"/>
  <c r="T132" i="40"/>
  <c r="U132" i="40"/>
  <c r="V132" i="40"/>
  <c r="W132" i="40"/>
  <c r="X132" i="40"/>
  <c r="K133" i="40"/>
  <c r="M133" i="40"/>
  <c r="O133" i="40"/>
  <c r="Q133" i="40"/>
  <c r="S133" i="40"/>
  <c r="T133" i="40"/>
  <c r="U133" i="40"/>
  <c r="V133" i="40"/>
  <c r="W133" i="40"/>
  <c r="X133" i="40"/>
  <c r="K134" i="40"/>
  <c r="M134" i="40"/>
  <c r="O134" i="40"/>
  <c r="Q134" i="40"/>
  <c r="S134" i="40"/>
  <c r="T134" i="40"/>
  <c r="U134" i="40"/>
  <c r="V134" i="40"/>
  <c r="W134" i="40"/>
  <c r="X134" i="40"/>
  <c r="K135" i="40"/>
  <c r="M135" i="40"/>
  <c r="O135" i="40"/>
  <c r="Q135" i="40"/>
  <c r="S135" i="40"/>
  <c r="T135" i="40"/>
  <c r="U135" i="40"/>
  <c r="V135" i="40"/>
  <c r="W135" i="40"/>
  <c r="X135" i="40"/>
  <c r="K136" i="40"/>
  <c r="M136" i="40"/>
  <c r="O136" i="40"/>
  <c r="Q136" i="40"/>
  <c r="S136" i="40"/>
  <c r="T136" i="40"/>
  <c r="U136" i="40"/>
  <c r="V136" i="40"/>
  <c r="W136" i="40"/>
  <c r="X136" i="40"/>
  <c r="K137" i="40"/>
  <c r="M137" i="40"/>
  <c r="O137" i="40"/>
  <c r="Q137" i="40"/>
  <c r="S137" i="40"/>
  <c r="T137" i="40"/>
  <c r="U137" i="40"/>
  <c r="V137" i="40"/>
  <c r="W137" i="40"/>
  <c r="X137" i="40"/>
  <c r="K138" i="40"/>
  <c r="M138" i="40"/>
  <c r="O138" i="40"/>
  <c r="Q138" i="40"/>
  <c r="S138" i="40"/>
  <c r="T138" i="40"/>
  <c r="U138" i="40"/>
  <c r="V138" i="40"/>
  <c r="W138" i="40"/>
  <c r="X138" i="40"/>
  <c r="K139" i="40"/>
  <c r="M139" i="40"/>
  <c r="O139" i="40"/>
  <c r="Q139" i="40"/>
  <c r="S139" i="40"/>
  <c r="T139" i="40"/>
  <c r="U139" i="40"/>
  <c r="V139" i="40"/>
  <c r="W139" i="40"/>
  <c r="X139" i="40"/>
  <c r="K140" i="40"/>
  <c r="M140" i="40"/>
  <c r="O140" i="40"/>
  <c r="Q140" i="40"/>
  <c r="S140" i="40"/>
  <c r="T140" i="40"/>
  <c r="U140" i="40"/>
  <c r="V140" i="40"/>
  <c r="W140" i="40"/>
  <c r="X140" i="40"/>
  <c r="K141" i="40"/>
  <c r="M141" i="40"/>
  <c r="O141" i="40"/>
  <c r="Q141" i="40"/>
  <c r="S141" i="40"/>
  <c r="T141" i="40"/>
  <c r="U141" i="40"/>
  <c r="V141" i="40"/>
  <c r="W141" i="40"/>
  <c r="X141" i="40"/>
  <c r="K142" i="40"/>
  <c r="M142" i="40"/>
  <c r="O142" i="40"/>
  <c r="Q142" i="40"/>
  <c r="S142" i="40"/>
  <c r="T142" i="40"/>
  <c r="U142" i="40"/>
  <c r="V142" i="40"/>
  <c r="W142" i="40"/>
  <c r="X142" i="40"/>
  <c r="K143" i="40"/>
  <c r="M143" i="40"/>
  <c r="O143" i="40"/>
  <c r="Q143" i="40"/>
  <c r="S143" i="40"/>
  <c r="T143" i="40"/>
  <c r="U143" i="40"/>
  <c r="V143" i="40"/>
  <c r="W143" i="40"/>
  <c r="X143" i="40"/>
  <c r="K144" i="40"/>
  <c r="M144" i="40"/>
  <c r="O144" i="40"/>
  <c r="Q144" i="40"/>
  <c r="S144" i="40"/>
  <c r="T144" i="40"/>
  <c r="U144" i="40"/>
  <c r="V144" i="40"/>
  <c r="W144" i="40"/>
  <c r="X144" i="40"/>
  <c r="K145" i="40"/>
  <c r="M145" i="40"/>
  <c r="O145" i="40"/>
  <c r="Q145" i="40"/>
  <c r="S145" i="40"/>
  <c r="T145" i="40"/>
  <c r="U145" i="40"/>
  <c r="V145" i="40"/>
  <c r="W145" i="40"/>
  <c r="X145" i="40"/>
  <c r="K146" i="40"/>
  <c r="M146" i="40"/>
  <c r="O146" i="40"/>
  <c r="Q146" i="40"/>
  <c r="S146" i="40"/>
  <c r="T146" i="40"/>
  <c r="U146" i="40"/>
  <c r="V146" i="40"/>
  <c r="W146" i="40"/>
  <c r="X146" i="40"/>
  <c r="K147" i="40"/>
  <c r="M147" i="40"/>
  <c r="O147" i="40"/>
  <c r="Q147" i="40"/>
  <c r="S147" i="40"/>
  <c r="T147" i="40"/>
  <c r="U147" i="40"/>
  <c r="V147" i="40"/>
  <c r="W147" i="40"/>
  <c r="X147" i="40"/>
  <c r="K148" i="40"/>
  <c r="M148" i="40"/>
  <c r="O148" i="40"/>
  <c r="Q148" i="40"/>
  <c r="S148" i="40"/>
  <c r="T148" i="40"/>
  <c r="U148" i="40"/>
  <c r="V148" i="40"/>
  <c r="W148" i="40"/>
  <c r="X148" i="40"/>
  <c r="K149" i="40"/>
  <c r="M149" i="40"/>
  <c r="O149" i="40"/>
  <c r="Q149" i="40"/>
  <c r="S149" i="40"/>
  <c r="T149" i="40"/>
  <c r="U149" i="40"/>
  <c r="V149" i="40"/>
  <c r="W149" i="40"/>
  <c r="X149" i="40"/>
  <c r="K150" i="40"/>
  <c r="M150" i="40"/>
  <c r="O150" i="40"/>
  <c r="Q150" i="40"/>
  <c r="S150" i="40"/>
  <c r="T150" i="40"/>
  <c r="U150" i="40"/>
  <c r="V150" i="40"/>
  <c r="W150" i="40"/>
  <c r="X150" i="40"/>
  <c r="K151" i="40"/>
  <c r="M151" i="40"/>
  <c r="O151" i="40"/>
  <c r="Q151" i="40"/>
  <c r="S151" i="40"/>
  <c r="T151" i="40"/>
  <c r="U151" i="40"/>
  <c r="V151" i="40"/>
  <c r="W151" i="40"/>
  <c r="X151" i="40"/>
  <c r="K152" i="40"/>
  <c r="M152" i="40"/>
  <c r="O152" i="40"/>
  <c r="Q152" i="40"/>
  <c r="S152" i="40"/>
  <c r="T152" i="40"/>
  <c r="U152" i="40"/>
  <c r="V152" i="40"/>
  <c r="W152" i="40"/>
  <c r="X152" i="40"/>
  <c r="K153" i="40"/>
  <c r="M153" i="40"/>
  <c r="O153" i="40"/>
  <c r="Q153" i="40"/>
  <c r="S153" i="40"/>
  <c r="T153" i="40"/>
  <c r="U153" i="40"/>
  <c r="V153" i="40"/>
  <c r="W153" i="40"/>
  <c r="X153" i="40"/>
  <c r="K154" i="40"/>
  <c r="M154" i="40"/>
  <c r="O154" i="40"/>
  <c r="Q154" i="40"/>
  <c r="S154" i="40"/>
  <c r="T154" i="40"/>
  <c r="U154" i="40"/>
  <c r="V154" i="40"/>
  <c r="W154" i="40"/>
  <c r="X154" i="40"/>
  <c r="K155" i="40"/>
  <c r="M155" i="40"/>
  <c r="O155" i="40"/>
  <c r="Q155" i="40"/>
  <c r="S155" i="40"/>
  <c r="T155" i="40"/>
  <c r="U155" i="40"/>
  <c r="V155" i="40"/>
  <c r="W155" i="40"/>
  <c r="X155" i="40"/>
  <c r="K156" i="40"/>
  <c r="M156" i="40"/>
  <c r="O156" i="40"/>
  <c r="Q156" i="40"/>
  <c r="S156" i="40"/>
  <c r="T156" i="40"/>
  <c r="U156" i="40"/>
  <c r="V156" i="40"/>
  <c r="W156" i="40"/>
  <c r="X156" i="40"/>
  <c r="K157" i="40"/>
  <c r="M157" i="40"/>
  <c r="O157" i="40"/>
  <c r="Q157" i="40"/>
  <c r="S157" i="40"/>
  <c r="T157" i="40"/>
  <c r="U157" i="40"/>
  <c r="V157" i="40"/>
  <c r="W157" i="40"/>
  <c r="X157" i="40"/>
  <c r="K158" i="40"/>
  <c r="M158" i="40"/>
  <c r="O158" i="40"/>
  <c r="Q158" i="40"/>
  <c r="S158" i="40"/>
  <c r="T158" i="40"/>
  <c r="U158" i="40"/>
  <c r="V158" i="40"/>
  <c r="W158" i="40"/>
  <c r="X158" i="40"/>
  <c r="K159" i="40"/>
  <c r="M159" i="40"/>
  <c r="O159" i="40"/>
  <c r="Q159" i="40"/>
  <c r="S159" i="40"/>
  <c r="T159" i="40"/>
  <c r="U159" i="40"/>
  <c r="V159" i="40"/>
  <c r="W159" i="40"/>
  <c r="X159" i="40"/>
  <c r="K160" i="40"/>
  <c r="M160" i="40"/>
  <c r="O160" i="40"/>
  <c r="Q160" i="40"/>
  <c r="S160" i="40"/>
  <c r="T160" i="40"/>
  <c r="U160" i="40"/>
  <c r="V160" i="40"/>
  <c r="W160" i="40"/>
  <c r="X160" i="40"/>
  <c r="K161" i="40"/>
  <c r="M161" i="40"/>
  <c r="O161" i="40"/>
  <c r="Q161" i="40"/>
  <c r="S161" i="40"/>
  <c r="T161" i="40"/>
  <c r="U161" i="40"/>
  <c r="V161" i="40"/>
  <c r="W161" i="40"/>
  <c r="X161" i="40"/>
  <c r="K162" i="40"/>
  <c r="M162" i="40"/>
  <c r="O162" i="40"/>
  <c r="Q162" i="40"/>
  <c r="S162" i="40"/>
  <c r="T162" i="40"/>
  <c r="U162" i="40"/>
  <c r="V162" i="40"/>
  <c r="W162" i="40"/>
  <c r="X162" i="40"/>
  <c r="K163" i="40"/>
  <c r="M163" i="40"/>
  <c r="O163" i="40"/>
  <c r="Q163" i="40"/>
  <c r="S163" i="40"/>
  <c r="T163" i="40"/>
  <c r="U163" i="40"/>
  <c r="V163" i="40"/>
  <c r="W163" i="40"/>
  <c r="X163" i="40"/>
  <c r="K164" i="40"/>
  <c r="M164" i="40"/>
  <c r="O164" i="40"/>
  <c r="Q164" i="40"/>
  <c r="S164" i="40"/>
  <c r="T164" i="40"/>
  <c r="U164" i="40"/>
  <c r="V164" i="40"/>
  <c r="W164" i="40"/>
  <c r="X164" i="40"/>
  <c r="K165" i="40"/>
  <c r="M165" i="40"/>
  <c r="O165" i="40"/>
  <c r="Q165" i="40"/>
  <c r="S165" i="40"/>
  <c r="T165" i="40"/>
  <c r="U165" i="40"/>
  <c r="V165" i="40"/>
  <c r="W165" i="40"/>
  <c r="X165" i="40"/>
  <c r="K166" i="40"/>
  <c r="M166" i="40"/>
  <c r="O166" i="40"/>
  <c r="Q166" i="40"/>
  <c r="S166" i="40"/>
  <c r="T166" i="40"/>
  <c r="U166" i="40"/>
  <c r="V166" i="40"/>
  <c r="W166" i="40"/>
  <c r="X166" i="40"/>
  <c r="K167" i="40"/>
  <c r="M167" i="40"/>
  <c r="O167" i="40"/>
  <c r="Q167" i="40"/>
  <c r="S167" i="40"/>
  <c r="T167" i="40"/>
  <c r="U167" i="40"/>
  <c r="V167" i="40"/>
  <c r="W167" i="40"/>
  <c r="X167" i="40"/>
  <c r="K168" i="40"/>
  <c r="M168" i="40"/>
  <c r="O168" i="40"/>
  <c r="Q168" i="40"/>
  <c r="S168" i="40"/>
  <c r="T168" i="40"/>
  <c r="U168" i="40"/>
  <c r="V168" i="40"/>
  <c r="W168" i="40"/>
  <c r="X168" i="40"/>
  <c r="K169" i="40"/>
  <c r="M169" i="40"/>
  <c r="O169" i="40"/>
  <c r="Q169" i="40"/>
  <c r="S169" i="40"/>
  <c r="T169" i="40"/>
  <c r="U169" i="40"/>
  <c r="V169" i="40"/>
  <c r="W169" i="40"/>
  <c r="X169" i="40"/>
  <c r="K170" i="40"/>
  <c r="M170" i="40"/>
  <c r="O170" i="40"/>
  <c r="Q170" i="40"/>
  <c r="S170" i="40"/>
  <c r="T170" i="40"/>
  <c r="U170" i="40"/>
  <c r="V170" i="40"/>
  <c r="W170" i="40"/>
  <c r="X170" i="40"/>
  <c r="K171" i="40"/>
  <c r="M171" i="40"/>
  <c r="O171" i="40"/>
  <c r="Q171" i="40"/>
  <c r="S171" i="40"/>
  <c r="T171" i="40"/>
  <c r="U171" i="40"/>
  <c r="V171" i="40"/>
  <c r="W171" i="40"/>
  <c r="X171" i="40"/>
  <c r="K172" i="40"/>
  <c r="M172" i="40"/>
  <c r="O172" i="40"/>
  <c r="Q172" i="40"/>
  <c r="S172" i="40"/>
  <c r="T172" i="40"/>
  <c r="U172" i="40"/>
  <c r="V172" i="40"/>
  <c r="W172" i="40"/>
  <c r="X172" i="40"/>
  <c r="K173" i="40"/>
  <c r="M173" i="40"/>
  <c r="O173" i="40"/>
  <c r="Q173" i="40"/>
  <c r="S173" i="40"/>
  <c r="T173" i="40"/>
  <c r="U173" i="40"/>
  <c r="V173" i="40"/>
  <c r="W173" i="40"/>
  <c r="X173" i="40"/>
  <c r="K174" i="40"/>
  <c r="M174" i="40"/>
  <c r="O174" i="40"/>
  <c r="Q174" i="40"/>
  <c r="S174" i="40"/>
  <c r="T174" i="40"/>
  <c r="U174" i="40"/>
  <c r="V174" i="40"/>
  <c r="W174" i="40"/>
  <c r="X174" i="40"/>
  <c r="K175" i="40"/>
  <c r="M175" i="40"/>
  <c r="O175" i="40"/>
  <c r="Q175" i="40"/>
  <c r="S175" i="40"/>
  <c r="T175" i="40"/>
  <c r="U175" i="40"/>
  <c r="V175" i="40"/>
  <c r="W175" i="40"/>
  <c r="X175" i="40"/>
  <c r="K176" i="40"/>
  <c r="M176" i="40"/>
  <c r="O176" i="40"/>
  <c r="Q176" i="40"/>
  <c r="S176" i="40"/>
  <c r="T176" i="40"/>
  <c r="U176" i="40"/>
  <c r="V176" i="40"/>
  <c r="W176" i="40"/>
  <c r="X176" i="40"/>
  <c r="K177" i="40"/>
  <c r="M177" i="40"/>
  <c r="O177" i="40"/>
  <c r="Q177" i="40"/>
  <c r="S177" i="40"/>
  <c r="T177" i="40"/>
  <c r="U177" i="40"/>
  <c r="V177" i="40"/>
  <c r="W177" i="40"/>
  <c r="X177" i="40"/>
  <c r="K178" i="40"/>
  <c r="M178" i="40"/>
  <c r="O178" i="40"/>
  <c r="Q178" i="40"/>
  <c r="S178" i="40"/>
  <c r="T178" i="40"/>
  <c r="U178" i="40"/>
  <c r="V178" i="40"/>
  <c r="W178" i="40"/>
  <c r="X178" i="40"/>
  <c r="K179" i="40"/>
  <c r="M179" i="40"/>
  <c r="O179" i="40"/>
  <c r="Q179" i="40"/>
  <c r="S179" i="40"/>
  <c r="T179" i="40"/>
  <c r="U179" i="40"/>
  <c r="V179" i="40"/>
  <c r="W179" i="40"/>
  <c r="X179" i="40"/>
  <c r="K180" i="40"/>
  <c r="M180" i="40"/>
  <c r="O180" i="40"/>
  <c r="Q180" i="40"/>
  <c r="S180" i="40"/>
  <c r="T180" i="40"/>
  <c r="U180" i="40"/>
  <c r="V180" i="40"/>
  <c r="W180" i="40"/>
  <c r="X180" i="40"/>
  <c r="K181" i="40"/>
  <c r="M181" i="40"/>
  <c r="O181" i="40"/>
  <c r="Q181" i="40"/>
  <c r="S181" i="40"/>
  <c r="T181" i="40"/>
  <c r="U181" i="40"/>
  <c r="V181" i="40"/>
  <c r="W181" i="40"/>
  <c r="X181" i="40"/>
  <c r="K182" i="40"/>
  <c r="M182" i="40"/>
  <c r="O182" i="40"/>
  <c r="Q182" i="40"/>
  <c r="S182" i="40"/>
  <c r="T182" i="40"/>
  <c r="U182" i="40"/>
  <c r="V182" i="40"/>
  <c r="W182" i="40"/>
  <c r="X182" i="40"/>
  <c r="K183" i="40"/>
  <c r="M183" i="40"/>
  <c r="O183" i="40"/>
  <c r="Q183" i="40"/>
  <c r="S183" i="40"/>
  <c r="T183" i="40"/>
  <c r="U183" i="40"/>
  <c r="V183" i="40"/>
  <c r="W183" i="40"/>
  <c r="X183" i="40"/>
  <c r="K184" i="40"/>
  <c r="M184" i="40"/>
  <c r="O184" i="40"/>
  <c r="Q184" i="40"/>
  <c r="S184" i="40"/>
  <c r="T184" i="40"/>
  <c r="U184" i="40"/>
  <c r="V184" i="40"/>
  <c r="W184" i="40"/>
  <c r="X184" i="40"/>
  <c r="K185" i="40"/>
  <c r="M185" i="40"/>
  <c r="O185" i="40"/>
  <c r="Q185" i="40"/>
  <c r="S185" i="40"/>
  <c r="T185" i="40"/>
  <c r="U185" i="40"/>
  <c r="V185" i="40"/>
  <c r="W185" i="40"/>
  <c r="X185" i="40"/>
  <c r="K186" i="40"/>
  <c r="M186" i="40"/>
  <c r="O186" i="40"/>
  <c r="Q186" i="40"/>
  <c r="S186" i="40"/>
  <c r="T186" i="40"/>
  <c r="U186" i="40"/>
  <c r="V186" i="40"/>
  <c r="W186" i="40"/>
  <c r="X186" i="40"/>
  <c r="K187" i="40"/>
  <c r="M187" i="40"/>
  <c r="O187" i="40"/>
  <c r="Q187" i="40"/>
  <c r="S187" i="40"/>
  <c r="T187" i="40"/>
  <c r="U187" i="40"/>
  <c r="V187" i="40"/>
  <c r="W187" i="40"/>
  <c r="X187" i="40"/>
  <c r="K188" i="40"/>
  <c r="M188" i="40"/>
  <c r="O188" i="40"/>
  <c r="Q188" i="40"/>
  <c r="S188" i="40"/>
  <c r="T188" i="40"/>
  <c r="U188" i="40"/>
  <c r="V188" i="40"/>
  <c r="W188" i="40"/>
  <c r="X188" i="40"/>
  <c r="K189" i="40"/>
  <c r="M189" i="40"/>
  <c r="O189" i="40"/>
  <c r="Q189" i="40"/>
  <c r="S189" i="40"/>
  <c r="T189" i="40"/>
  <c r="U189" i="40"/>
  <c r="V189" i="40"/>
  <c r="W189" i="40"/>
  <c r="X189" i="40"/>
  <c r="K190" i="40"/>
  <c r="M190" i="40"/>
  <c r="O190" i="40"/>
  <c r="Q190" i="40"/>
  <c r="S190" i="40"/>
  <c r="T190" i="40"/>
  <c r="U190" i="40"/>
  <c r="V190" i="40"/>
  <c r="W190" i="40"/>
  <c r="X190" i="40"/>
  <c r="K191" i="40"/>
  <c r="M191" i="40"/>
  <c r="O191" i="40"/>
  <c r="Q191" i="40"/>
  <c r="S191" i="40"/>
  <c r="T191" i="40"/>
  <c r="U191" i="40"/>
  <c r="V191" i="40"/>
  <c r="W191" i="40"/>
  <c r="X191" i="40"/>
  <c r="K192" i="40"/>
  <c r="M192" i="40"/>
  <c r="O192" i="40"/>
  <c r="Q192" i="40"/>
  <c r="S192" i="40"/>
  <c r="T192" i="40"/>
  <c r="U192" i="40"/>
  <c r="V192" i="40"/>
  <c r="W192" i="40"/>
  <c r="X192" i="40"/>
  <c r="K193" i="40"/>
  <c r="M193" i="40"/>
  <c r="O193" i="40"/>
  <c r="Q193" i="40"/>
  <c r="S193" i="40"/>
  <c r="T193" i="40"/>
  <c r="U193" i="40"/>
  <c r="V193" i="40"/>
  <c r="W193" i="40"/>
  <c r="X193" i="40"/>
  <c r="K194" i="40"/>
  <c r="M194" i="40"/>
  <c r="O194" i="40"/>
  <c r="Q194" i="40"/>
  <c r="S194" i="40"/>
  <c r="T194" i="40"/>
  <c r="U194" i="40"/>
  <c r="V194" i="40"/>
  <c r="W194" i="40"/>
  <c r="X194" i="40"/>
  <c r="K195" i="40"/>
  <c r="M195" i="40"/>
  <c r="O195" i="40"/>
  <c r="Q195" i="40"/>
  <c r="S195" i="40"/>
  <c r="T195" i="40"/>
  <c r="U195" i="40"/>
  <c r="V195" i="40"/>
  <c r="W195" i="40"/>
  <c r="X195" i="40"/>
  <c r="K196" i="40"/>
  <c r="M196" i="40"/>
  <c r="O196" i="40"/>
  <c r="Q196" i="40"/>
  <c r="S196" i="40"/>
  <c r="T196" i="40"/>
  <c r="U196" i="40"/>
  <c r="V196" i="40"/>
  <c r="W196" i="40"/>
  <c r="X196" i="40"/>
  <c r="K197" i="40"/>
  <c r="M197" i="40"/>
  <c r="O197" i="40"/>
  <c r="Q197" i="40"/>
  <c r="S197" i="40"/>
  <c r="T197" i="40"/>
  <c r="U197" i="40"/>
  <c r="V197" i="40"/>
  <c r="W197" i="40"/>
  <c r="X197" i="40"/>
  <c r="K198" i="40"/>
  <c r="M198" i="40"/>
  <c r="O198" i="40"/>
  <c r="Q198" i="40"/>
  <c r="S198" i="40"/>
  <c r="T198" i="40"/>
  <c r="U198" i="40"/>
  <c r="V198" i="40"/>
  <c r="W198" i="40"/>
  <c r="X198" i="40"/>
  <c r="K199" i="40"/>
  <c r="M199" i="40"/>
  <c r="O199" i="40"/>
  <c r="Q199" i="40"/>
  <c r="S199" i="40"/>
  <c r="T199" i="40"/>
  <c r="U199" i="40"/>
  <c r="V199" i="40"/>
  <c r="W199" i="40"/>
  <c r="X199" i="40"/>
  <c r="K200" i="40"/>
  <c r="M200" i="40"/>
  <c r="O200" i="40"/>
  <c r="Q200" i="40"/>
  <c r="S200" i="40"/>
  <c r="T200" i="40"/>
  <c r="U200" i="40"/>
  <c r="V200" i="40"/>
  <c r="W200" i="40"/>
  <c r="X200" i="40"/>
  <c r="K201" i="40"/>
  <c r="M201" i="40"/>
  <c r="O201" i="40"/>
  <c r="Q201" i="40"/>
  <c r="S201" i="40"/>
  <c r="T201" i="40"/>
  <c r="U201" i="40"/>
  <c r="V201" i="40"/>
  <c r="W201" i="40"/>
  <c r="X201" i="40"/>
  <c r="K202" i="40"/>
  <c r="M202" i="40"/>
  <c r="O202" i="40"/>
  <c r="Q202" i="40"/>
  <c r="S202" i="40"/>
  <c r="T202" i="40"/>
  <c r="U202" i="40"/>
  <c r="V202" i="40"/>
  <c r="W202" i="40"/>
  <c r="X202" i="40"/>
  <c r="K203" i="40"/>
  <c r="M203" i="40"/>
  <c r="O203" i="40"/>
  <c r="Q203" i="40"/>
  <c r="S203" i="40"/>
  <c r="T203" i="40"/>
  <c r="U203" i="40"/>
  <c r="V203" i="40"/>
  <c r="W203" i="40"/>
  <c r="X203" i="40"/>
  <c r="K204" i="40"/>
  <c r="M204" i="40"/>
  <c r="O204" i="40"/>
  <c r="Q204" i="40"/>
  <c r="S204" i="40"/>
  <c r="T204" i="40"/>
  <c r="U204" i="40"/>
  <c r="V204" i="40"/>
  <c r="W204" i="40"/>
  <c r="X204" i="40"/>
  <c r="K205" i="40"/>
  <c r="M205" i="40"/>
  <c r="O205" i="40"/>
  <c r="Q205" i="40"/>
  <c r="S205" i="40"/>
  <c r="T205" i="40"/>
  <c r="U205" i="40"/>
  <c r="V205" i="40"/>
  <c r="W205" i="40"/>
  <c r="X205" i="40"/>
  <c r="K206" i="40"/>
  <c r="M206" i="40"/>
  <c r="O206" i="40"/>
  <c r="Q206" i="40"/>
  <c r="S206" i="40"/>
  <c r="T206" i="40"/>
  <c r="U206" i="40"/>
  <c r="V206" i="40"/>
  <c r="W206" i="40"/>
  <c r="X206" i="40"/>
  <c r="K207" i="40"/>
  <c r="M207" i="40"/>
  <c r="O207" i="40"/>
  <c r="Q207" i="40"/>
  <c r="S207" i="40"/>
  <c r="T207" i="40"/>
  <c r="U207" i="40"/>
  <c r="V207" i="40"/>
  <c r="W207" i="40"/>
  <c r="X207" i="40"/>
  <c r="K208" i="40"/>
  <c r="M208" i="40"/>
  <c r="O208" i="40"/>
  <c r="Q208" i="40"/>
  <c r="S208" i="40"/>
  <c r="T208" i="40"/>
  <c r="U208" i="40"/>
  <c r="V208" i="40"/>
  <c r="W208" i="40"/>
  <c r="X208" i="40"/>
  <c r="K209" i="40"/>
  <c r="M209" i="40"/>
  <c r="O209" i="40"/>
  <c r="Q209" i="40"/>
  <c r="S209" i="40"/>
  <c r="T209" i="40"/>
  <c r="U209" i="40"/>
  <c r="V209" i="40"/>
  <c r="W209" i="40"/>
  <c r="X209" i="40"/>
  <c r="K210" i="40"/>
  <c r="M210" i="40"/>
  <c r="O210" i="40"/>
  <c r="Q210" i="40"/>
  <c r="S210" i="40"/>
  <c r="T210" i="40"/>
  <c r="U210" i="40"/>
  <c r="V210" i="40"/>
  <c r="W210" i="40"/>
  <c r="X210" i="40"/>
  <c r="K211" i="40"/>
  <c r="M211" i="40"/>
  <c r="O211" i="40"/>
  <c r="Q211" i="40"/>
  <c r="S211" i="40"/>
  <c r="T211" i="40"/>
  <c r="U211" i="40"/>
  <c r="V211" i="40"/>
  <c r="W211" i="40"/>
  <c r="X211" i="40"/>
  <c r="K212" i="40"/>
  <c r="M212" i="40"/>
  <c r="O212" i="40"/>
  <c r="Q212" i="40"/>
  <c r="S212" i="40"/>
  <c r="T212" i="40"/>
  <c r="U212" i="40"/>
  <c r="V212" i="40"/>
  <c r="W212" i="40"/>
  <c r="X212" i="40"/>
  <c r="K213" i="40"/>
  <c r="M213" i="40"/>
  <c r="O213" i="40"/>
  <c r="Q213" i="40"/>
  <c r="S213" i="40"/>
  <c r="T213" i="40"/>
  <c r="U213" i="40"/>
  <c r="V213" i="40"/>
  <c r="W213" i="40"/>
  <c r="X213" i="40"/>
  <c r="K214" i="40"/>
  <c r="M214" i="40"/>
  <c r="O214" i="40"/>
  <c r="Q214" i="40"/>
  <c r="S214" i="40"/>
  <c r="T214" i="40"/>
  <c r="U214" i="40"/>
  <c r="V214" i="40"/>
  <c r="W214" i="40"/>
  <c r="X214" i="40"/>
  <c r="K215" i="40"/>
  <c r="M215" i="40"/>
  <c r="O215" i="40"/>
  <c r="Q215" i="40"/>
  <c r="S215" i="40"/>
  <c r="T215" i="40"/>
  <c r="U215" i="40"/>
  <c r="V215" i="40"/>
  <c r="W215" i="40"/>
  <c r="X215" i="40"/>
  <c r="K216" i="40"/>
  <c r="M216" i="40"/>
  <c r="O216" i="40"/>
  <c r="Q216" i="40"/>
  <c r="S216" i="40"/>
  <c r="T216" i="40"/>
  <c r="U216" i="40"/>
  <c r="V216" i="40"/>
  <c r="W216" i="40"/>
  <c r="X216" i="40"/>
  <c r="K217" i="40"/>
  <c r="M217" i="40"/>
  <c r="O217" i="40"/>
  <c r="Q217" i="40"/>
  <c r="S217" i="40"/>
  <c r="T217" i="40"/>
  <c r="U217" i="40"/>
  <c r="V217" i="40"/>
  <c r="W217" i="40"/>
  <c r="X217" i="40"/>
  <c r="K218" i="40"/>
  <c r="M218" i="40"/>
  <c r="O218" i="40"/>
  <c r="Q218" i="40"/>
  <c r="S218" i="40"/>
  <c r="T218" i="40"/>
  <c r="U218" i="40"/>
  <c r="V218" i="40"/>
  <c r="W218" i="40"/>
  <c r="X218" i="40"/>
  <c r="K219" i="40"/>
  <c r="M219" i="40"/>
  <c r="O219" i="40"/>
  <c r="Q219" i="40"/>
  <c r="S219" i="40"/>
  <c r="T219" i="40"/>
  <c r="U219" i="40"/>
  <c r="V219" i="40"/>
  <c r="W219" i="40"/>
  <c r="X219" i="40"/>
  <c r="K220" i="40"/>
  <c r="M220" i="40"/>
  <c r="O220" i="40"/>
  <c r="Q220" i="40"/>
  <c r="S220" i="40"/>
  <c r="T220" i="40"/>
  <c r="U220" i="40"/>
  <c r="V220" i="40"/>
  <c r="W220" i="40"/>
  <c r="X220" i="40"/>
  <c r="K221" i="40"/>
  <c r="M221" i="40"/>
  <c r="O221" i="40"/>
  <c r="Q221" i="40"/>
  <c r="S221" i="40"/>
  <c r="T221" i="40"/>
  <c r="U221" i="40"/>
  <c r="V221" i="40"/>
  <c r="W221" i="40"/>
  <c r="X221" i="40"/>
  <c r="K222" i="40"/>
  <c r="M222" i="40"/>
  <c r="O222" i="40"/>
  <c r="Q222" i="40"/>
  <c r="S222" i="40"/>
  <c r="T222" i="40"/>
  <c r="U222" i="40"/>
  <c r="V222" i="40"/>
  <c r="W222" i="40"/>
  <c r="X222" i="40"/>
  <c r="K223" i="40"/>
  <c r="M223" i="40"/>
  <c r="O223" i="40"/>
  <c r="Q223" i="40"/>
  <c r="S223" i="40"/>
  <c r="T223" i="40"/>
  <c r="U223" i="40"/>
  <c r="V223" i="40"/>
  <c r="W223" i="40"/>
  <c r="X223" i="40"/>
  <c r="K224" i="40"/>
  <c r="M224" i="40"/>
  <c r="O224" i="40"/>
  <c r="Q224" i="40"/>
  <c r="S224" i="40"/>
  <c r="T224" i="40"/>
  <c r="U224" i="40"/>
  <c r="V224" i="40"/>
  <c r="W224" i="40"/>
  <c r="X224" i="40"/>
  <c r="K225" i="40"/>
  <c r="M225" i="40"/>
  <c r="O225" i="40"/>
  <c r="Q225" i="40"/>
  <c r="S225" i="40"/>
  <c r="T225" i="40"/>
  <c r="U225" i="40"/>
  <c r="V225" i="40"/>
  <c r="W225" i="40"/>
  <c r="X225" i="40"/>
  <c r="K226" i="40"/>
  <c r="M226" i="40"/>
  <c r="O226" i="40"/>
  <c r="Q226" i="40"/>
  <c r="S226" i="40"/>
  <c r="T226" i="40"/>
  <c r="U226" i="40"/>
  <c r="V226" i="40"/>
  <c r="W226" i="40"/>
  <c r="X226" i="40"/>
  <c r="K227" i="40"/>
  <c r="M227" i="40"/>
  <c r="O227" i="40"/>
  <c r="Q227" i="40"/>
  <c r="S227" i="40"/>
  <c r="T227" i="40"/>
  <c r="U227" i="40"/>
  <c r="V227" i="40"/>
  <c r="W227" i="40"/>
  <c r="X227" i="40"/>
  <c r="K228" i="40"/>
  <c r="M228" i="40"/>
  <c r="O228" i="40"/>
  <c r="Q228" i="40"/>
  <c r="S228" i="40"/>
  <c r="T228" i="40"/>
  <c r="U228" i="40"/>
  <c r="V228" i="40"/>
  <c r="W228" i="40"/>
  <c r="X228" i="40"/>
  <c r="K229" i="40"/>
  <c r="M229" i="40"/>
  <c r="O229" i="40"/>
  <c r="Q229" i="40"/>
  <c r="S229" i="40"/>
  <c r="T229" i="40"/>
  <c r="U229" i="40"/>
  <c r="V229" i="40"/>
  <c r="W229" i="40"/>
  <c r="X229" i="40"/>
  <c r="K230" i="40"/>
  <c r="M230" i="40"/>
  <c r="O230" i="40"/>
  <c r="Q230" i="40"/>
  <c r="S230" i="40"/>
  <c r="T230" i="40"/>
  <c r="U230" i="40"/>
  <c r="V230" i="40"/>
  <c r="W230" i="40"/>
  <c r="X230" i="40"/>
  <c r="K231" i="40"/>
  <c r="M231" i="40"/>
  <c r="O231" i="40"/>
  <c r="Q231" i="40"/>
  <c r="S231" i="40"/>
  <c r="T231" i="40"/>
  <c r="U231" i="40"/>
  <c r="V231" i="40"/>
  <c r="W231" i="40"/>
  <c r="X231" i="40"/>
  <c r="K232" i="40"/>
  <c r="M232" i="40"/>
  <c r="O232" i="40"/>
  <c r="Q232" i="40"/>
  <c r="S232" i="40"/>
  <c r="T232" i="40"/>
  <c r="U232" i="40"/>
  <c r="V232" i="40"/>
  <c r="W232" i="40"/>
  <c r="X232" i="40"/>
  <c r="K233" i="40"/>
  <c r="M233" i="40"/>
  <c r="O233" i="40"/>
  <c r="Q233" i="40"/>
  <c r="S233" i="40"/>
  <c r="T233" i="40"/>
  <c r="U233" i="40"/>
  <c r="V233" i="40"/>
  <c r="W233" i="40"/>
  <c r="X233" i="40"/>
  <c r="K234" i="40"/>
  <c r="M234" i="40"/>
  <c r="O234" i="40"/>
  <c r="Q234" i="40"/>
  <c r="S234" i="40"/>
  <c r="T234" i="40"/>
  <c r="U234" i="40"/>
  <c r="V234" i="40"/>
  <c r="W234" i="40"/>
  <c r="X234" i="40"/>
  <c r="K235" i="40"/>
  <c r="M235" i="40"/>
  <c r="O235" i="40"/>
  <c r="Q235" i="40"/>
  <c r="S235" i="40"/>
  <c r="T235" i="40"/>
  <c r="U235" i="40"/>
  <c r="V235" i="40"/>
  <c r="W235" i="40"/>
  <c r="X235" i="40"/>
  <c r="K236" i="40"/>
  <c r="M236" i="40"/>
  <c r="O236" i="40"/>
  <c r="Q236" i="40"/>
  <c r="S236" i="40"/>
  <c r="T236" i="40"/>
  <c r="U236" i="40"/>
  <c r="V236" i="40"/>
  <c r="W236" i="40"/>
  <c r="X236" i="40"/>
  <c r="K237" i="40"/>
  <c r="M237" i="40"/>
  <c r="O237" i="40"/>
  <c r="Q237" i="40"/>
  <c r="S237" i="40"/>
  <c r="T237" i="40"/>
  <c r="U237" i="40"/>
  <c r="V237" i="40"/>
  <c r="W237" i="40"/>
  <c r="X237" i="40"/>
  <c r="K238" i="40"/>
  <c r="M238" i="40"/>
  <c r="O238" i="40"/>
  <c r="Q238" i="40"/>
  <c r="S238" i="40"/>
  <c r="T238" i="40"/>
  <c r="U238" i="40"/>
  <c r="V238" i="40"/>
  <c r="W238" i="40"/>
  <c r="X238" i="40"/>
  <c r="K239" i="40"/>
  <c r="M239" i="40"/>
  <c r="O239" i="40"/>
  <c r="Q239" i="40"/>
  <c r="S239" i="40"/>
  <c r="T239" i="40"/>
  <c r="U239" i="40"/>
  <c r="V239" i="40"/>
  <c r="W239" i="40"/>
  <c r="X239" i="40"/>
  <c r="K240" i="40"/>
  <c r="M240" i="40"/>
  <c r="O240" i="40"/>
  <c r="Q240" i="40"/>
  <c r="S240" i="40"/>
  <c r="T240" i="40"/>
  <c r="U240" i="40"/>
  <c r="V240" i="40"/>
  <c r="W240" i="40"/>
  <c r="X240" i="40"/>
  <c r="K241" i="40"/>
  <c r="M241" i="40"/>
  <c r="O241" i="40"/>
  <c r="Q241" i="40"/>
  <c r="S241" i="40"/>
  <c r="T241" i="40"/>
  <c r="U241" i="40"/>
  <c r="V241" i="40"/>
  <c r="W241" i="40"/>
  <c r="X241" i="40"/>
  <c r="K242" i="40"/>
  <c r="M242" i="40"/>
  <c r="O242" i="40"/>
  <c r="Q242" i="40"/>
  <c r="S242" i="40"/>
  <c r="T242" i="40"/>
  <c r="U242" i="40"/>
  <c r="V242" i="40"/>
  <c r="W242" i="40"/>
  <c r="X242" i="40"/>
  <c r="K243" i="40"/>
  <c r="M243" i="40"/>
  <c r="O243" i="40"/>
  <c r="Q243" i="40"/>
  <c r="S243" i="40"/>
  <c r="T243" i="40"/>
  <c r="U243" i="40"/>
  <c r="V243" i="40"/>
  <c r="W243" i="40"/>
  <c r="X243" i="40"/>
  <c r="K244" i="40"/>
  <c r="M244" i="40"/>
  <c r="O244" i="40"/>
  <c r="Q244" i="40"/>
  <c r="S244" i="40"/>
  <c r="T244" i="40"/>
  <c r="U244" i="40"/>
  <c r="V244" i="40"/>
  <c r="W244" i="40"/>
  <c r="X244" i="40"/>
  <c r="K245" i="40"/>
  <c r="M245" i="40"/>
  <c r="O245" i="40"/>
  <c r="Q245" i="40"/>
  <c r="S245" i="40"/>
  <c r="T245" i="40"/>
  <c r="U245" i="40"/>
  <c r="V245" i="40"/>
  <c r="W245" i="40"/>
  <c r="X245" i="40"/>
  <c r="K246" i="40"/>
  <c r="M246" i="40"/>
  <c r="O246" i="40"/>
  <c r="Q246" i="40"/>
  <c r="S246" i="40"/>
  <c r="T246" i="40"/>
  <c r="U246" i="40"/>
  <c r="V246" i="40"/>
  <c r="W246" i="40"/>
  <c r="X246" i="40"/>
  <c r="K247" i="40"/>
  <c r="M247" i="40"/>
  <c r="O247" i="40"/>
  <c r="Q247" i="40"/>
  <c r="S247" i="40"/>
  <c r="T247" i="40"/>
  <c r="U247" i="40"/>
  <c r="V247" i="40"/>
  <c r="W247" i="40"/>
  <c r="X247" i="40"/>
  <c r="K248" i="40"/>
  <c r="M248" i="40"/>
  <c r="O248" i="40"/>
  <c r="Q248" i="40"/>
  <c r="S248" i="40"/>
  <c r="T248" i="40"/>
  <c r="U248" i="40"/>
  <c r="V248" i="40"/>
  <c r="W248" i="40"/>
  <c r="X248" i="40"/>
  <c r="K249" i="40"/>
  <c r="M249" i="40"/>
  <c r="O249" i="40"/>
  <c r="Q249" i="40"/>
  <c r="S249" i="40"/>
  <c r="T249" i="40"/>
  <c r="U249" i="40"/>
  <c r="V249" i="40"/>
  <c r="W249" i="40"/>
  <c r="X249" i="40"/>
  <c r="K250" i="40"/>
  <c r="M250" i="40"/>
  <c r="O250" i="40"/>
  <c r="Q250" i="40"/>
  <c r="S250" i="40"/>
  <c r="T250" i="40"/>
  <c r="U250" i="40"/>
  <c r="V250" i="40"/>
  <c r="W250" i="40"/>
  <c r="X250" i="40"/>
  <c r="K251" i="40"/>
  <c r="M251" i="40"/>
  <c r="O251" i="40"/>
  <c r="Q251" i="40"/>
  <c r="S251" i="40"/>
  <c r="T251" i="40"/>
  <c r="U251" i="40"/>
  <c r="V251" i="40"/>
  <c r="W251" i="40"/>
  <c r="X251" i="40"/>
  <c r="K252" i="40"/>
  <c r="M252" i="40"/>
  <c r="O252" i="40"/>
  <c r="Q252" i="40"/>
  <c r="S252" i="40"/>
  <c r="T252" i="40"/>
  <c r="U252" i="40"/>
  <c r="V252" i="40"/>
  <c r="W252" i="40"/>
  <c r="X252" i="40"/>
  <c r="K253" i="40"/>
  <c r="M253" i="40"/>
  <c r="O253" i="40"/>
  <c r="Q253" i="40"/>
  <c r="S253" i="40"/>
  <c r="T253" i="40"/>
  <c r="U253" i="40"/>
  <c r="V253" i="40"/>
  <c r="W253" i="40"/>
  <c r="X253" i="40"/>
  <c r="K254" i="40"/>
  <c r="M254" i="40"/>
  <c r="O254" i="40"/>
  <c r="Q254" i="40"/>
  <c r="S254" i="40"/>
  <c r="T254" i="40"/>
  <c r="U254" i="40"/>
  <c r="V254" i="40"/>
  <c r="W254" i="40"/>
  <c r="X254" i="40"/>
  <c r="K255" i="40"/>
  <c r="M255" i="40"/>
  <c r="O255" i="40"/>
  <c r="Q255" i="40"/>
  <c r="S255" i="40"/>
  <c r="T255" i="40"/>
  <c r="U255" i="40"/>
  <c r="V255" i="40"/>
  <c r="W255" i="40"/>
  <c r="X255" i="40"/>
  <c r="K256" i="40"/>
  <c r="M256" i="40"/>
  <c r="O256" i="40"/>
  <c r="Q256" i="40"/>
  <c r="S256" i="40"/>
  <c r="T256" i="40"/>
  <c r="U256" i="40"/>
  <c r="V256" i="40"/>
  <c r="W256" i="40"/>
  <c r="X256" i="40"/>
  <c r="K257" i="40"/>
  <c r="M257" i="40"/>
  <c r="O257" i="40"/>
  <c r="Q257" i="40"/>
  <c r="S257" i="40"/>
  <c r="T257" i="40"/>
  <c r="U257" i="40"/>
  <c r="V257" i="40"/>
  <c r="W257" i="40"/>
  <c r="X257" i="40"/>
  <c r="K258" i="40"/>
  <c r="M258" i="40"/>
  <c r="O258" i="40"/>
  <c r="Q258" i="40"/>
  <c r="S258" i="40"/>
  <c r="T258" i="40"/>
  <c r="U258" i="40"/>
  <c r="V258" i="40"/>
  <c r="W258" i="40"/>
  <c r="X258" i="40"/>
  <c r="K259" i="40"/>
  <c r="M259" i="40"/>
  <c r="O259" i="40"/>
  <c r="Q259" i="40"/>
  <c r="S259" i="40"/>
  <c r="T259" i="40"/>
  <c r="U259" i="40"/>
  <c r="V259" i="40"/>
  <c r="W259" i="40"/>
  <c r="X259" i="40"/>
  <c r="K260" i="40"/>
  <c r="M260" i="40"/>
  <c r="O260" i="40"/>
  <c r="Q260" i="40"/>
  <c r="S260" i="40"/>
  <c r="T260" i="40"/>
  <c r="U260" i="40"/>
  <c r="V260" i="40"/>
  <c r="W260" i="40"/>
  <c r="X260" i="40"/>
  <c r="K261" i="40"/>
  <c r="M261" i="40"/>
  <c r="O261" i="40"/>
  <c r="Q261" i="40"/>
  <c r="S261" i="40"/>
  <c r="T261" i="40"/>
  <c r="U261" i="40"/>
  <c r="V261" i="40"/>
  <c r="W261" i="40"/>
  <c r="X261" i="40"/>
  <c r="K262" i="40"/>
  <c r="M262" i="40"/>
  <c r="O262" i="40"/>
  <c r="Q262" i="40"/>
  <c r="S262" i="40"/>
  <c r="T262" i="40"/>
  <c r="U262" i="40"/>
  <c r="V262" i="40"/>
  <c r="W262" i="40"/>
  <c r="X262" i="40"/>
  <c r="K263" i="40"/>
  <c r="M263" i="40"/>
  <c r="O263" i="40"/>
  <c r="Q263" i="40"/>
  <c r="S263" i="40"/>
  <c r="T263" i="40"/>
  <c r="U263" i="40"/>
  <c r="V263" i="40"/>
  <c r="W263" i="40"/>
  <c r="X263" i="40"/>
  <c r="K264" i="40"/>
  <c r="M264" i="40"/>
  <c r="O264" i="40"/>
  <c r="Q264" i="40"/>
  <c r="S264" i="40"/>
  <c r="T264" i="40"/>
  <c r="U264" i="40"/>
  <c r="V264" i="40"/>
  <c r="W264" i="40"/>
  <c r="X264" i="40"/>
  <c r="K265" i="40"/>
  <c r="M265" i="40"/>
  <c r="O265" i="40"/>
  <c r="Q265" i="40"/>
  <c r="S265" i="40"/>
  <c r="T265" i="40"/>
  <c r="U265" i="40"/>
  <c r="V265" i="40"/>
  <c r="W265" i="40"/>
  <c r="X265" i="40"/>
  <c r="K266" i="40"/>
  <c r="M266" i="40"/>
  <c r="O266" i="40"/>
  <c r="Q266" i="40"/>
  <c r="S266" i="40"/>
  <c r="T266" i="40"/>
  <c r="U266" i="40"/>
  <c r="V266" i="40"/>
  <c r="W266" i="40"/>
  <c r="X266" i="40"/>
  <c r="K267" i="40"/>
  <c r="M267" i="40"/>
  <c r="O267" i="40"/>
  <c r="Q267" i="40"/>
  <c r="S267" i="40"/>
  <c r="T267" i="40"/>
  <c r="U267" i="40"/>
  <c r="V267" i="40"/>
  <c r="W267" i="40"/>
  <c r="X267" i="40"/>
  <c r="K268" i="40"/>
  <c r="M268" i="40"/>
  <c r="O268" i="40"/>
  <c r="Q268" i="40"/>
  <c r="S268" i="40"/>
  <c r="T268" i="40"/>
  <c r="U268" i="40"/>
  <c r="V268" i="40"/>
  <c r="W268" i="40"/>
  <c r="X268" i="40"/>
  <c r="K269" i="40"/>
  <c r="M269" i="40"/>
  <c r="O269" i="40"/>
  <c r="Q269" i="40"/>
  <c r="S269" i="40"/>
  <c r="T269" i="40"/>
  <c r="U269" i="40"/>
  <c r="V269" i="40"/>
  <c r="W269" i="40"/>
  <c r="X269" i="40"/>
  <c r="K270" i="40"/>
  <c r="M270" i="40"/>
  <c r="O270" i="40"/>
  <c r="Q270" i="40"/>
  <c r="S270" i="40"/>
  <c r="T270" i="40"/>
  <c r="U270" i="40"/>
  <c r="V270" i="40"/>
  <c r="W270" i="40"/>
  <c r="X270" i="40"/>
  <c r="K271" i="40"/>
  <c r="M271" i="40"/>
  <c r="O271" i="40"/>
  <c r="Q271" i="40"/>
  <c r="S271" i="40"/>
  <c r="T271" i="40"/>
  <c r="U271" i="40"/>
  <c r="V271" i="40"/>
  <c r="W271" i="40"/>
  <c r="X271" i="40"/>
  <c r="K272" i="40"/>
  <c r="M272" i="40"/>
  <c r="O272" i="40"/>
  <c r="Q272" i="40"/>
  <c r="S272" i="40"/>
  <c r="T272" i="40"/>
  <c r="U272" i="40"/>
  <c r="V272" i="40"/>
  <c r="W272" i="40"/>
  <c r="X272" i="40"/>
  <c r="K273" i="40"/>
  <c r="M273" i="40"/>
  <c r="O273" i="40"/>
  <c r="Q273" i="40"/>
  <c r="S273" i="40"/>
  <c r="T273" i="40"/>
  <c r="U273" i="40"/>
  <c r="V273" i="40"/>
  <c r="W273" i="40"/>
  <c r="X273" i="40"/>
  <c r="K274" i="40"/>
  <c r="M274" i="40"/>
  <c r="O274" i="40"/>
  <c r="Q274" i="40"/>
  <c r="S274" i="40"/>
  <c r="T274" i="40"/>
  <c r="U274" i="40"/>
  <c r="V274" i="40"/>
  <c r="W274" i="40"/>
  <c r="X274" i="40"/>
  <c r="K275" i="40"/>
  <c r="M275" i="40"/>
  <c r="O275" i="40"/>
  <c r="Q275" i="40"/>
  <c r="S275" i="40"/>
  <c r="T275" i="40"/>
  <c r="U275" i="40"/>
  <c r="V275" i="40"/>
  <c r="W275" i="40"/>
  <c r="X275" i="40"/>
  <c r="K276" i="40"/>
  <c r="M276" i="40"/>
  <c r="O276" i="40"/>
  <c r="Q276" i="40"/>
  <c r="S276" i="40"/>
  <c r="T276" i="40"/>
  <c r="U276" i="40"/>
  <c r="V276" i="40"/>
  <c r="W276" i="40"/>
  <c r="X276" i="40"/>
  <c r="K277" i="40"/>
  <c r="M277" i="40"/>
  <c r="O277" i="40"/>
  <c r="Q277" i="40"/>
  <c r="S277" i="40"/>
  <c r="T277" i="40"/>
  <c r="U277" i="40"/>
  <c r="V277" i="40"/>
  <c r="W277" i="40"/>
  <c r="X277" i="40"/>
  <c r="K278" i="40"/>
  <c r="M278" i="40"/>
  <c r="O278" i="40"/>
  <c r="Q278" i="40"/>
  <c r="S278" i="40"/>
  <c r="T278" i="40"/>
  <c r="U278" i="40"/>
  <c r="V278" i="40"/>
  <c r="W278" i="40"/>
  <c r="X278" i="40"/>
  <c r="K279" i="40"/>
  <c r="M279" i="40"/>
  <c r="O279" i="40"/>
  <c r="Q279" i="40"/>
  <c r="S279" i="40"/>
  <c r="T279" i="40"/>
  <c r="U279" i="40"/>
  <c r="V279" i="40"/>
  <c r="W279" i="40"/>
  <c r="X279" i="40"/>
  <c r="K280" i="40"/>
  <c r="M280" i="40"/>
  <c r="O280" i="40"/>
  <c r="Q280" i="40"/>
  <c r="S280" i="40"/>
  <c r="T280" i="40"/>
  <c r="U280" i="40"/>
  <c r="V280" i="40"/>
  <c r="W280" i="40"/>
  <c r="X280" i="40"/>
  <c r="K281" i="40"/>
  <c r="M281" i="40"/>
  <c r="O281" i="40"/>
  <c r="Q281" i="40"/>
  <c r="S281" i="40"/>
  <c r="T281" i="40"/>
  <c r="U281" i="40"/>
  <c r="V281" i="40"/>
  <c r="W281" i="40"/>
  <c r="X281" i="40"/>
  <c r="K282" i="40"/>
  <c r="M282" i="40"/>
  <c r="O282" i="40"/>
  <c r="Q282" i="40"/>
  <c r="S282" i="40"/>
  <c r="T282" i="40"/>
  <c r="U282" i="40"/>
  <c r="V282" i="40"/>
  <c r="W282" i="40"/>
  <c r="X282" i="40"/>
  <c r="K283" i="40"/>
  <c r="M283" i="40"/>
  <c r="O283" i="40"/>
  <c r="Q283" i="40"/>
  <c r="S283" i="40"/>
  <c r="T283" i="40"/>
  <c r="U283" i="40"/>
  <c r="V283" i="40"/>
  <c r="W283" i="40"/>
  <c r="X283" i="40"/>
  <c r="K284" i="40"/>
  <c r="M284" i="40"/>
  <c r="O284" i="40"/>
  <c r="Q284" i="40"/>
  <c r="S284" i="40"/>
  <c r="T284" i="40"/>
  <c r="U284" i="40"/>
  <c r="V284" i="40"/>
  <c r="W284" i="40"/>
  <c r="X284" i="40"/>
  <c r="K285" i="40"/>
  <c r="M285" i="40"/>
  <c r="O285" i="40"/>
  <c r="Q285" i="40"/>
  <c r="S285" i="40"/>
  <c r="T285" i="40"/>
  <c r="U285" i="40"/>
  <c r="V285" i="40"/>
  <c r="W285" i="40"/>
  <c r="X285" i="40"/>
  <c r="K286" i="40"/>
  <c r="M286" i="40"/>
  <c r="O286" i="40"/>
  <c r="Q286" i="40"/>
  <c r="S286" i="40"/>
  <c r="T286" i="40"/>
  <c r="U286" i="40"/>
  <c r="V286" i="40"/>
  <c r="W286" i="40"/>
  <c r="X286" i="40"/>
  <c r="K287" i="40"/>
  <c r="M287" i="40"/>
  <c r="O287" i="40"/>
  <c r="Q287" i="40"/>
  <c r="S287" i="40"/>
  <c r="T287" i="40"/>
  <c r="U287" i="40"/>
  <c r="V287" i="40"/>
  <c r="W287" i="40"/>
  <c r="X287" i="40"/>
  <c r="K288" i="40"/>
  <c r="M288" i="40"/>
  <c r="O288" i="40"/>
  <c r="Q288" i="40"/>
  <c r="S288" i="40"/>
  <c r="T288" i="40"/>
  <c r="U288" i="40"/>
  <c r="V288" i="40"/>
  <c r="W288" i="40"/>
  <c r="X288" i="40"/>
  <c r="K289" i="40"/>
  <c r="M289" i="40"/>
  <c r="O289" i="40"/>
  <c r="Q289" i="40"/>
  <c r="S289" i="40"/>
  <c r="T289" i="40"/>
  <c r="U289" i="40"/>
  <c r="V289" i="40"/>
  <c r="W289" i="40"/>
  <c r="X289" i="40"/>
  <c r="K290" i="40"/>
  <c r="M290" i="40"/>
  <c r="O290" i="40"/>
  <c r="Q290" i="40"/>
  <c r="S290" i="40"/>
  <c r="T290" i="40"/>
  <c r="U290" i="40"/>
  <c r="V290" i="40"/>
  <c r="W290" i="40"/>
  <c r="X290" i="40"/>
  <c r="K291" i="40"/>
  <c r="M291" i="40"/>
  <c r="O291" i="40"/>
  <c r="Q291" i="40"/>
  <c r="S291" i="40"/>
  <c r="T291" i="40"/>
  <c r="U291" i="40"/>
  <c r="V291" i="40"/>
  <c r="W291" i="40"/>
  <c r="X291" i="40"/>
  <c r="K292" i="40"/>
  <c r="M292" i="40"/>
  <c r="O292" i="40"/>
  <c r="Q292" i="40"/>
  <c r="S292" i="40"/>
  <c r="T292" i="40"/>
  <c r="U292" i="40"/>
  <c r="V292" i="40"/>
  <c r="W292" i="40"/>
  <c r="X292" i="40"/>
  <c r="K293" i="40"/>
  <c r="M293" i="40"/>
  <c r="O293" i="40"/>
  <c r="Q293" i="40"/>
  <c r="S293" i="40"/>
  <c r="T293" i="40"/>
  <c r="U293" i="40"/>
  <c r="V293" i="40"/>
  <c r="W293" i="40"/>
  <c r="X293" i="40"/>
  <c r="K294" i="40"/>
  <c r="M294" i="40"/>
  <c r="O294" i="40"/>
  <c r="Q294" i="40"/>
  <c r="S294" i="40"/>
  <c r="T294" i="40"/>
  <c r="U294" i="40"/>
  <c r="V294" i="40"/>
  <c r="W294" i="40"/>
  <c r="X294" i="40"/>
  <c r="K295" i="40"/>
  <c r="M295" i="40"/>
  <c r="O295" i="40"/>
  <c r="Q295" i="40"/>
  <c r="S295" i="40"/>
  <c r="T295" i="40"/>
  <c r="U295" i="40"/>
  <c r="V295" i="40"/>
  <c r="W295" i="40"/>
  <c r="X295" i="40"/>
  <c r="K296" i="40"/>
  <c r="M296" i="40"/>
  <c r="O296" i="40"/>
  <c r="Q296" i="40"/>
  <c r="S296" i="40"/>
  <c r="T296" i="40"/>
  <c r="U296" i="40"/>
  <c r="V296" i="40"/>
  <c r="W296" i="40"/>
  <c r="X296" i="40"/>
  <c r="K297" i="40"/>
  <c r="M297" i="40"/>
  <c r="O297" i="40"/>
  <c r="Q297" i="40"/>
  <c r="S297" i="40"/>
  <c r="T297" i="40"/>
  <c r="U297" i="40"/>
  <c r="V297" i="40"/>
  <c r="W297" i="40"/>
  <c r="X297" i="40"/>
  <c r="K298" i="40"/>
  <c r="M298" i="40"/>
  <c r="O298" i="40"/>
  <c r="Q298" i="40"/>
  <c r="S298" i="40"/>
  <c r="T298" i="40"/>
  <c r="U298" i="40"/>
  <c r="V298" i="40"/>
  <c r="W298" i="40"/>
  <c r="X298" i="40"/>
  <c r="K299" i="40"/>
  <c r="M299" i="40"/>
  <c r="O299" i="40"/>
  <c r="Q299" i="40"/>
  <c r="S299" i="40"/>
  <c r="T299" i="40"/>
  <c r="U299" i="40"/>
  <c r="V299" i="40"/>
  <c r="W299" i="40"/>
  <c r="X299" i="40"/>
  <c r="K300" i="40"/>
  <c r="M300" i="40"/>
  <c r="O300" i="40"/>
  <c r="Q300" i="40"/>
  <c r="S300" i="40"/>
  <c r="T300" i="40"/>
  <c r="U300" i="40"/>
  <c r="V300" i="40"/>
  <c r="W300" i="40"/>
  <c r="X300" i="40"/>
  <c r="K301" i="40"/>
  <c r="M301" i="40"/>
  <c r="O301" i="40"/>
  <c r="Q301" i="40"/>
  <c r="S301" i="40"/>
  <c r="T301" i="40"/>
  <c r="U301" i="40"/>
  <c r="V301" i="40"/>
  <c r="W301" i="40"/>
  <c r="X301" i="40"/>
  <c r="K302" i="40"/>
  <c r="M302" i="40"/>
  <c r="O302" i="40"/>
  <c r="Q302" i="40"/>
  <c r="S302" i="40"/>
  <c r="T302" i="40"/>
  <c r="U302" i="40"/>
  <c r="V302" i="40"/>
  <c r="W302" i="40"/>
  <c r="X302" i="40"/>
  <c r="K303" i="40"/>
  <c r="M303" i="40"/>
  <c r="O303" i="40"/>
  <c r="Q303" i="40"/>
  <c r="S303" i="40"/>
  <c r="T303" i="40"/>
  <c r="U303" i="40"/>
  <c r="V303" i="40"/>
  <c r="W303" i="40"/>
  <c r="X303" i="40"/>
  <c r="K304" i="40"/>
  <c r="M304" i="40"/>
  <c r="O304" i="40"/>
  <c r="Q304" i="40"/>
  <c r="S304" i="40"/>
  <c r="T304" i="40"/>
  <c r="U304" i="40"/>
  <c r="V304" i="40"/>
  <c r="W304" i="40"/>
  <c r="X304" i="40"/>
  <c r="K305" i="40"/>
  <c r="M305" i="40"/>
  <c r="O305" i="40"/>
  <c r="Q305" i="40"/>
  <c r="S305" i="40"/>
  <c r="T305" i="40"/>
  <c r="U305" i="40"/>
  <c r="V305" i="40"/>
  <c r="W305" i="40"/>
  <c r="X305" i="40"/>
  <c r="K306" i="40"/>
  <c r="M306" i="40"/>
  <c r="O306" i="40"/>
  <c r="Q306" i="40"/>
  <c r="S306" i="40"/>
  <c r="T306" i="40"/>
  <c r="U306" i="40"/>
  <c r="V306" i="40"/>
  <c r="W306" i="40"/>
  <c r="X306" i="40"/>
  <c r="K307" i="40"/>
  <c r="M307" i="40"/>
  <c r="O307" i="40"/>
  <c r="Q307" i="40"/>
  <c r="S307" i="40"/>
  <c r="T307" i="40"/>
  <c r="U307" i="40"/>
  <c r="V307" i="40"/>
  <c r="W307" i="40"/>
  <c r="X307" i="40"/>
  <c r="K308" i="40"/>
  <c r="M308" i="40"/>
  <c r="O308" i="40"/>
  <c r="Q308" i="40"/>
  <c r="S308" i="40"/>
  <c r="T308" i="40"/>
  <c r="U308" i="40"/>
  <c r="V308" i="40"/>
  <c r="W308" i="40"/>
  <c r="X308" i="40"/>
  <c r="K309" i="40"/>
  <c r="M309" i="40"/>
  <c r="O309" i="40"/>
  <c r="Q309" i="40"/>
  <c r="S309" i="40"/>
  <c r="T309" i="40"/>
  <c r="U309" i="40"/>
  <c r="V309" i="40"/>
  <c r="W309" i="40"/>
  <c r="X309" i="40"/>
  <c r="K310" i="40"/>
  <c r="M310" i="40"/>
  <c r="O310" i="40"/>
  <c r="Q310" i="40"/>
  <c r="S310" i="40"/>
  <c r="T310" i="40"/>
  <c r="U310" i="40"/>
  <c r="V310" i="40"/>
  <c r="W310" i="40"/>
  <c r="X310" i="40"/>
  <c r="K311" i="40"/>
  <c r="M311" i="40"/>
  <c r="O311" i="40"/>
  <c r="Q311" i="40"/>
  <c r="S311" i="40"/>
  <c r="T311" i="40"/>
  <c r="U311" i="40"/>
  <c r="V311" i="40"/>
  <c r="W311" i="40"/>
  <c r="X311" i="40"/>
  <c r="K312" i="40"/>
  <c r="M312" i="40"/>
  <c r="O312" i="40"/>
  <c r="Q312" i="40"/>
  <c r="S312" i="40"/>
  <c r="T312" i="40"/>
  <c r="U312" i="40"/>
  <c r="V312" i="40"/>
  <c r="W312" i="40"/>
  <c r="X312" i="40"/>
  <c r="K313" i="40"/>
  <c r="M313" i="40"/>
  <c r="O313" i="40"/>
  <c r="Q313" i="40"/>
  <c r="S313" i="40"/>
  <c r="T313" i="40"/>
  <c r="U313" i="40"/>
  <c r="V313" i="40"/>
  <c r="W313" i="40"/>
  <c r="X313" i="40"/>
  <c r="K314" i="40"/>
  <c r="M314" i="40"/>
  <c r="O314" i="40"/>
  <c r="Q314" i="40"/>
  <c r="S314" i="40"/>
  <c r="T314" i="40"/>
  <c r="U314" i="40"/>
  <c r="V314" i="40"/>
  <c r="W314" i="40"/>
  <c r="X314" i="40"/>
  <c r="K315" i="40"/>
  <c r="M315" i="40"/>
  <c r="O315" i="40"/>
  <c r="Q315" i="40"/>
  <c r="S315" i="40"/>
  <c r="T315" i="40"/>
  <c r="U315" i="40"/>
  <c r="V315" i="40"/>
  <c r="W315" i="40"/>
  <c r="X315" i="40"/>
  <c r="K316" i="40"/>
  <c r="M316" i="40"/>
  <c r="O316" i="40"/>
  <c r="Q316" i="40"/>
  <c r="S316" i="40"/>
  <c r="T316" i="40"/>
  <c r="U316" i="40"/>
  <c r="V316" i="40"/>
  <c r="W316" i="40"/>
  <c r="X316" i="40"/>
  <c r="K317" i="40"/>
  <c r="M317" i="40"/>
  <c r="O317" i="40"/>
  <c r="Q317" i="40"/>
  <c r="S317" i="40"/>
  <c r="T317" i="40"/>
  <c r="U317" i="40"/>
  <c r="V317" i="40"/>
  <c r="W317" i="40"/>
  <c r="X317" i="40"/>
  <c r="K318" i="40"/>
  <c r="M318" i="40"/>
  <c r="O318" i="40"/>
  <c r="Q318" i="40"/>
  <c r="S318" i="40"/>
  <c r="T318" i="40"/>
  <c r="U318" i="40"/>
  <c r="V318" i="40"/>
  <c r="W318" i="40"/>
  <c r="X318" i="40"/>
  <c r="K319" i="40"/>
  <c r="M319" i="40"/>
  <c r="O319" i="40"/>
  <c r="Q319" i="40"/>
  <c r="S319" i="40"/>
  <c r="T319" i="40"/>
  <c r="U319" i="40"/>
  <c r="V319" i="40"/>
  <c r="W319" i="40"/>
  <c r="X319" i="40"/>
  <c r="K320" i="40"/>
  <c r="M320" i="40"/>
  <c r="O320" i="40"/>
  <c r="Q320" i="40"/>
  <c r="S320" i="40"/>
  <c r="T320" i="40"/>
  <c r="U320" i="40"/>
  <c r="V320" i="40"/>
  <c r="W320" i="40"/>
  <c r="X320" i="40"/>
  <c r="K321" i="40"/>
  <c r="M321" i="40"/>
  <c r="O321" i="40"/>
  <c r="Q321" i="40"/>
  <c r="S321" i="40"/>
  <c r="T321" i="40"/>
  <c r="U321" i="40"/>
  <c r="V321" i="40"/>
  <c r="W321" i="40"/>
  <c r="X321" i="40"/>
  <c r="K322" i="40"/>
  <c r="M322" i="40"/>
  <c r="O322" i="40"/>
  <c r="Q322" i="40"/>
  <c r="S322" i="40"/>
  <c r="T322" i="40"/>
  <c r="U322" i="40"/>
  <c r="V322" i="40"/>
  <c r="W322" i="40"/>
  <c r="X322" i="40"/>
  <c r="K323" i="40"/>
  <c r="M323" i="40"/>
  <c r="O323" i="40"/>
  <c r="Q323" i="40"/>
  <c r="S323" i="40"/>
  <c r="T323" i="40"/>
  <c r="U323" i="40"/>
  <c r="V323" i="40"/>
  <c r="W323" i="40"/>
  <c r="X323" i="40"/>
  <c r="K324" i="40"/>
  <c r="M324" i="40"/>
  <c r="O324" i="40"/>
  <c r="Q324" i="40"/>
  <c r="S324" i="40"/>
  <c r="T324" i="40"/>
  <c r="U324" i="40"/>
  <c r="V324" i="40"/>
  <c r="W324" i="40"/>
  <c r="X324" i="40"/>
  <c r="K325" i="40"/>
  <c r="M325" i="40"/>
  <c r="O325" i="40"/>
  <c r="Q325" i="40"/>
  <c r="S325" i="40"/>
  <c r="T325" i="40"/>
  <c r="U325" i="40"/>
  <c r="V325" i="40"/>
  <c r="W325" i="40"/>
  <c r="X325" i="40"/>
  <c r="K326" i="40"/>
  <c r="M326" i="40"/>
  <c r="O326" i="40"/>
  <c r="Q326" i="40"/>
  <c r="S326" i="40"/>
  <c r="T326" i="40"/>
  <c r="U326" i="40"/>
  <c r="V326" i="40"/>
  <c r="W326" i="40"/>
  <c r="X326" i="40"/>
  <c r="K327" i="40"/>
  <c r="M327" i="40"/>
  <c r="O327" i="40"/>
  <c r="Q327" i="40"/>
  <c r="S327" i="40"/>
  <c r="T327" i="40"/>
  <c r="U327" i="40"/>
  <c r="V327" i="40"/>
  <c r="W327" i="40"/>
  <c r="X327" i="40"/>
  <c r="K328" i="40"/>
  <c r="M328" i="40"/>
  <c r="O328" i="40"/>
  <c r="Q328" i="40"/>
  <c r="S328" i="40"/>
  <c r="T328" i="40"/>
  <c r="U328" i="40"/>
  <c r="V328" i="40"/>
  <c r="W328" i="40"/>
  <c r="X328" i="40"/>
  <c r="K329" i="40"/>
  <c r="M329" i="40"/>
  <c r="O329" i="40"/>
  <c r="Q329" i="40"/>
  <c r="S329" i="40"/>
  <c r="T329" i="40"/>
  <c r="U329" i="40"/>
  <c r="V329" i="40"/>
  <c r="W329" i="40"/>
  <c r="X329" i="40"/>
  <c r="K330" i="40"/>
  <c r="M330" i="40"/>
  <c r="O330" i="40"/>
  <c r="Q330" i="40"/>
  <c r="S330" i="40"/>
  <c r="T330" i="40"/>
  <c r="U330" i="40"/>
  <c r="V330" i="40"/>
  <c r="W330" i="40"/>
  <c r="X330" i="40"/>
  <c r="K331" i="40"/>
  <c r="M331" i="40"/>
  <c r="O331" i="40"/>
  <c r="Q331" i="40"/>
  <c r="S331" i="40"/>
  <c r="T331" i="40"/>
  <c r="U331" i="40"/>
  <c r="V331" i="40"/>
  <c r="W331" i="40"/>
  <c r="X331" i="40"/>
  <c r="K332" i="40"/>
  <c r="M332" i="40"/>
  <c r="O332" i="40"/>
  <c r="Q332" i="40"/>
  <c r="S332" i="40"/>
  <c r="T332" i="40"/>
  <c r="U332" i="40"/>
  <c r="V332" i="40"/>
  <c r="W332" i="40"/>
  <c r="X332" i="40"/>
  <c r="K333" i="40"/>
  <c r="M333" i="40"/>
  <c r="O333" i="40"/>
  <c r="Q333" i="40"/>
  <c r="S333" i="40"/>
  <c r="T333" i="40"/>
  <c r="U333" i="40"/>
  <c r="V333" i="40"/>
  <c r="W333" i="40"/>
  <c r="X333" i="40"/>
  <c r="K334" i="40"/>
  <c r="M334" i="40"/>
  <c r="O334" i="40"/>
  <c r="Q334" i="40"/>
  <c r="S334" i="40"/>
  <c r="T334" i="40"/>
  <c r="U334" i="40"/>
  <c r="V334" i="40"/>
  <c r="W334" i="40"/>
  <c r="X334" i="40"/>
  <c r="K335" i="40"/>
  <c r="M335" i="40"/>
  <c r="O335" i="40"/>
  <c r="Q335" i="40"/>
  <c r="S335" i="40"/>
  <c r="T335" i="40"/>
  <c r="U335" i="40"/>
  <c r="V335" i="40"/>
  <c r="W335" i="40"/>
  <c r="X335" i="40"/>
  <c r="K336" i="40"/>
  <c r="M336" i="40"/>
  <c r="O336" i="40"/>
  <c r="Q336" i="40"/>
  <c r="S336" i="40"/>
  <c r="T336" i="40"/>
  <c r="U336" i="40"/>
  <c r="V336" i="40"/>
  <c r="W336" i="40"/>
  <c r="X336" i="40"/>
  <c r="K337" i="40"/>
  <c r="M337" i="40"/>
  <c r="O337" i="40"/>
  <c r="Q337" i="40"/>
  <c r="S337" i="40"/>
  <c r="T337" i="40"/>
  <c r="U337" i="40"/>
  <c r="V337" i="40"/>
  <c r="W337" i="40"/>
  <c r="X337" i="40"/>
  <c r="K338" i="40"/>
  <c r="M338" i="40"/>
  <c r="O338" i="40"/>
  <c r="Q338" i="40"/>
  <c r="S338" i="40"/>
  <c r="T338" i="40"/>
  <c r="U338" i="40"/>
  <c r="V338" i="40"/>
  <c r="W338" i="40"/>
  <c r="X338" i="40"/>
  <c r="K339" i="40"/>
  <c r="M339" i="40"/>
  <c r="O339" i="40"/>
  <c r="Q339" i="40"/>
  <c r="S339" i="40"/>
  <c r="T339" i="40"/>
  <c r="U339" i="40"/>
  <c r="V339" i="40"/>
  <c r="W339" i="40"/>
  <c r="X339" i="40"/>
  <c r="K340" i="40"/>
  <c r="M340" i="40"/>
  <c r="O340" i="40"/>
  <c r="Q340" i="40"/>
  <c r="S340" i="40"/>
  <c r="T340" i="40"/>
  <c r="U340" i="40"/>
  <c r="V340" i="40"/>
  <c r="W340" i="40"/>
  <c r="X340" i="40"/>
  <c r="K341" i="40"/>
  <c r="M341" i="40"/>
  <c r="O341" i="40"/>
  <c r="Q341" i="40"/>
  <c r="S341" i="40"/>
  <c r="T341" i="40"/>
  <c r="U341" i="40"/>
  <c r="V341" i="40"/>
  <c r="W341" i="40"/>
  <c r="X341" i="40"/>
  <c r="K342" i="40"/>
  <c r="M342" i="40"/>
  <c r="O342" i="40"/>
  <c r="Q342" i="40"/>
  <c r="S342" i="40"/>
  <c r="T342" i="40"/>
  <c r="U342" i="40"/>
  <c r="V342" i="40"/>
  <c r="W342" i="40"/>
  <c r="X342" i="40"/>
  <c r="K343" i="40"/>
  <c r="M343" i="40"/>
  <c r="O343" i="40"/>
  <c r="Q343" i="40"/>
  <c r="S343" i="40"/>
  <c r="T343" i="40"/>
  <c r="U343" i="40"/>
  <c r="V343" i="40"/>
  <c r="W343" i="40"/>
  <c r="X343" i="40"/>
  <c r="K344" i="40"/>
  <c r="M344" i="40"/>
  <c r="O344" i="40"/>
  <c r="Q344" i="40"/>
  <c r="S344" i="40"/>
  <c r="T344" i="40"/>
  <c r="U344" i="40"/>
  <c r="V344" i="40"/>
  <c r="W344" i="40"/>
  <c r="X344" i="40"/>
  <c r="K345" i="40"/>
  <c r="M345" i="40"/>
  <c r="O345" i="40"/>
  <c r="Q345" i="40"/>
  <c r="S345" i="40"/>
  <c r="T345" i="40"/>
  <c r="U345" i="40"/>
  <c r="V345" i="40"/>
  <c r="W345" i="40"/>
  <c r="X345" i="40"/>
  <c r="K346" i="40"/>
  <c r="M346" i="40"/>
  <c r="O346" i="40"/>
  <c r="Q346" i="40"/>
  <c r="S346" i="40"/>
  <c r="T346" i="40"/>
  <c r="U346" i="40"/>
  <c r="V346" i="40"/>
  <c r="W346" i="40"/>
  <c r="X346" i="40"/>
  <c r="K347" i="40"/>
  <c r="M347" i="40"/>
  <c r="O347" i="40"/>
  <c r="Q347" i="40"/>
  <c r="S347" i="40"/>
  <c r="T347" i="40"/>
  <c r="U347" i="40"/>
  <c r="V347" i="40"/>
  <c r="W347" i="40"/>
  <c r="X347" i="40"/>
  <c r="K348" i="40"/>
  <c r="M348" i="40"/>
  <c r="O348" i="40"/>
  <c r="Q348" i="40"/>
  <c r="S348" i="40"/>
  <c r="T348" i="40"/>
  <c r="U348" i="40"/>
  <c r="V348" i="40"/>
  <c r="W348" i="40"/>
  <c r="X348" i="40"/>
  <c r="K349" i="40"/>
  <c r="M349" i="40"/>
  <c r="O349" i="40"/>
  <c r="Q349" i="40"/>
  <c r="S349" i="40"/>
  <c r="T349" i="40"/>
  <c r="U349" i="40"/>
  <c r="V349" i="40"/>
  <c r="W349" i="40"/>
  <c r="X349" i="40"/>
  <c r="K350" i="40"/>
  <c r="M350" i="40"/>
  <c r="O350" i="40"/>
  <c r="Q350" i="40"/>
  <c r="S350" i="40"/>
  <c r="T350" i="40"/>
  <c r="U350" i="40"/>
  <c r="V350" i="40"/>
  <c r="W350" i="40"/>
  <c r="X350" i="40"/>
  <c r="K351" i="40"/>
  <c r="M351" i="40"/>
  <c r="O351" i="40"/>
  <c r="Q351" i="40"/>
  <c r="S351" i="40"/>
  <c r="T351" i="40"/>
  <c r="U351" i="40"/>
  <c r="V351" i="40"/>
  <c r="W351" i="40"/>
  <c r="X351" i="40"/>
  <c r="K352" i="40"/>
  <c r="M352" i="40"/>
  <c r="O352" i="40"/>
  <c r="Q352" i="40"/>
  <c r="S352" i="40"/>
  <c r="T352" i="40"/>
  <c r="U352" i="40"/>
  <c r="V352" i="40"/>
  <c r="W352" i="40"/>
  <c r="X352" i="40"/>
  <c r="K353" i="40"/>
  <c r="M353" i="40"/>
  <c r="O353" i="40"/>
  <c r="Q353" i="40"/>
  <c r="S353" i="40"/>
  <c r="T353" i="40"/>
  <c r="U353" i="40"/>
  <c r="V353" i="40"/>
  <c r="W353" i="40"/>
  <c r="X353" i="40"/>
  <c r="K354" i="40"/>
  <c r="M354" i="40"/>
  <c r="O354" i="40"/>
  <c r="Q354" i="40"/>
  <c r="S354" i="40"/>
  <c r="T354" i="40"/>
  <c r="U354" i="40"/>
  <c r="V354" i="40"/>
  <c r="W354" i="40"/>
  <c r="X354" i="40"/>
  <c r="K355" i="40"/>
  <c r="M355" i="40"/>
  <c r="O355" i="40"/>
  <c r="Q355" i="40"/>
  <c r="S355" i="40"/>
  <c r="T355" i="40"/>
  <c r="U355" i="40"/>
  <c r="V355" i="40"/>
  <c r="W355" i="40"/>
  <c r="X355" i="40"/>
  <c r="X352" i="38" l="1"/>
  <c r="W352" i="38"/>
  <c r="V352" i="38"/>
  <c r="U352" i="38"/>
  <c r="T352" i="38"/>
  <c r="S352" i="38"/>
  <c r="Q352" i="38"/>
  <c r="O352" i="38"/>
  <c r="M352" i="38"/>
  <c r="K352" i="38"/>
  <c r="X351" i="38"/>
  <c r="W351" i="38"/>
  <c r="V351" i="38"/>
  <c r="U351" i="38"/>
  <c r="T351" i="38"/>
  <c r="S351" i="38"/>
  <c r="Q351" i="38"/>
  <c r="O351" i="38"/>
  <c r="M351" i="38"/>
  <c r="K351" i="38"/>
  <c r="X350" i="38"/>
  <c r="W350" i="38"/>
  <c r="V350" i="38"/>
  <c r="U350" i="38"/>
  <c r="T350" i="38"/>
  <c r="S350" i="38"/>
  <c r="Q350" i="38"/>
  <c r="O350" i="38"/>
  <c r="M350" i="38"/>
  <c r="K350" i="38"/>
  <c r="X349" i="38"/>
  <c r="W349" i="38"/>
  <c r="V349" i="38"/>
  <c r="U349" i="38"/>
  <c r="T349" i="38"/>
  <c r="S349" i="38"/>
  <c r="Q349" i="38"/>
  <c r="O349" i="38"/>
  <c r="M349" i="38"/>
  <c r="K349" i="38"/>
  <c r="X348" i="38"/>
  <c r="W348" i="38"/>
  <c r="V348" i="38"/>
  <c r="U348" i="38"/>
  <c r="T348" i="38"/>
  <c r="S348" i="38"/>
  <c r="Q348" i="38"/>
  <c r="O348" i="38"/>
  <c r="M348" i="38"/>
  <c r="K348" i="38"/>
  <c r="X347" i="38"/>
  <c r="W347" i="38"/>
  <c r="V347" i="38"/>
  <c r="U347" i="38"/>
  <c r="T347" i="38"/>
  <c r="S347" i="38"/>
  <c r="Q347" i="38"/>
  <c r="O347" i="38"/>
  <c r="M347" i="38"/>
  <c r="K347" i="38"/>
  <c r="X346" i="38"/>
  <c r="W346" i="38"/>
  <c r="V346" i="38"/>
  <c r="U346" i="38"/>
  <c r="T346" i="38"/>
  <c r="S346" i="38"/>
  <c r="Q346" i="38"/>
  <c r="O346" i="38"/>
  <c r="M346" i="38"/>
  <c r="K346" i="38"/>
  <c r="X345" i="38"/>
  <c r="W345" i="38"/>
  <c r="V345" i="38"/>
  <c r="U345" i="38"/>
  <c r="T345" i="38"/>
  <c r="S345" i="38"/>
  <c r="Q345" i="38"/>
  <c r="O345" i="38"/>
  <c r="M345" i="38"/>
  <c r="K345" i="38"/>
  <c r="X344" i="38"/>
  <c r="W344" i="38"/>
  <c r="V344" i="38"/>
  <c r="U344" i="38"/>
  <c r="T344" i="38"/>
  <c r="S344" i="38"/>
  <c r="Q344" i="38"/>
  <c r="O344" i="38"/>
  <c r="M344" i="38"/>
  <c r="K344" i="38"/>
  <c r="X343" i="38"/>
  <c r="W343" i="38"/>
  <c r="V343" i="38"/>
  <c r="U343" i="38"/>
  <c r="T343" i="38"/>
  <c r="S343" i="38"/>
  <c r="Q343" i="38"/>
  <c r="O343" i="38"/>
  <c r="M343" i="38"/>
  <c r="K343" i="38"/>
  <c r="X342" i="38"/>
  <c r="W342" i="38"/>
  <c r="V342" i="38"/>
  <c r="U342" i="38"/>
  <c r="T342" i="38"/>
  <c r="S342" i="38"/>
  <c r="Q342" i="38"/>
  <c r="O342" i="38"/>
  <c r="M342" i="38"/>
  <c r="K342" i="38"/>
  <c r="X341" i="38"/>
  <c r="W341" i="38"/>
  <c r="V341" i="38"/>
  <c r="U341" i="38"/>
  <c r="T341" i="38"/>
  <c r="S341" i="38"/>
  <c r="Q341" i="38"/>
  <c r="O341" i="38"/>
  <c r="M341" i="38"/>
  <c r="K341" i="38"/>
  <c r="X340" i="38"/>
  <c r="W340" i="38"/>
  <c r="V340" i="38"/>
  <c r="U340" i="38"/>
  <c r="T340" i="38"/>
  <c r="S340" i="38"/>
  <c r="Q340" i="38"/>
  <c r="O340" i="38"/>
  <c r="M340" i="38"/>
  <c r="K340" i="38"/>
  <c r="X339" i="38"/>
  <c r="W339" i="38"/>
  <c r="V339" i="38"/>
  <c r="U339" i="38"/>
  <c r="T339" i="38"/>
  <c r="S339" i="38"/>
  <c r="Q339" i="38"/>
  <c r="O339" i="38"/>
  <c r="M339" i="38"/>
  <c r="K339" i="38"/>
  <c r="X338" i="38"/>
  <c r="W338" i="38"/>
  <c r="V338" i="38"/>
  <c r="U338" i="38"/>
  <c r="T338" i="38"/>
  <c r="S338" i="38"/>
  <c r="Q338" i="38"/>
  <c r="O338" i="38"/>
  <c r="M338" i="38"/>
  <c r="K338" i="38"/>
  <c r="X337" i="38"/>
  <c r="W337" i="38"/>
  <c r="V337" i="38"/>
  <c r="U337" i="38"/>
  <c r="T337" i="38"/>
  <c r="S337" i="38"/>
  <c r="Q337" i="38"/>
  <c r="O337" i="38"/>
  <c r="M337" i="38"/>
  <c r="K337" i="38"/>
  <c r="X336" i="38"/>
  <c r="W336" i="38"/>
  <c r="V336" i="38"/>
  <c r="U336" i="38"/>
  <c r="T336" i="38"/>
  <c r="S336" i="38"/>
  <c r="Q336" i="38"/>
  <c r="O336" i="38"/>
  <c r="M336" i="38"/>
  <c r="K336" i="38"/>
  <c r="X335" i="38"/>
  <c r="W335" i="38"/>
  <c r="V335" i="38"/>
  <c r="U335" i="38"/>
  <c r="T335" i="38"/>
  <c r="S335" i="38"/>
  <c r="Q335" i="38"/>
  <c r="O335" i="38"/>
  <c r="M335" i="38"/>
  <c r="K335" i="38"/>
  <c r="X334" i="38"/>
  <c r="W334" i="38"/>
  <c r="V334" i="38"/>
  <c r="U334" i="38"/>
  <c r="T334" i="38"/>
  <c r="S334" i="38"/>
  <c r="Q334" i="38"/>
  <c r="O334" i="38"/>
  <c r="M334" i="38"/>
  <c r="K334" i="38"/>
  <c r="X333" i="38"/>
  <c r="W333" i="38"/>
  <c r="V333" i="38"/>
  <c r="U333" i="38"/>
  <c r="T333" i="38"/>
  <c r="S333" i="38"/>
  <c r="Q333" i="38"/>
  <c r="O333" i="38"/>
  <c r="M333" i="38"/>
  <c r="K333" i="38"/>
  <c r="X332" i="38"/>
  <c r="W332" i="38"/>
  <c r="V332" i="38"/>
  <c r="U332" i="38"/>
  <c r="T332" i="38"/>
  <c r="S332" i="38"/>
  <c r="Q332" i="38"/>
  <c r="O332" i="38"/>
  <c r="M332" i="38"/>
  <c r="K332" i="38"/>
  <c r="X331" i="38"/>
  <c r="W331" i="38"/>
  <c r="V331" i="38"/>
  <c r="U331" i="38"/>
  <c r="T331" i="38"/>
  <c r="S331" i="38"/>
  <c r="Q331" i="38"/>
  <c r="O331" i="38"/>
  <c r="M331" i="38"/>
  <c r="K331" i="38"/>
  <c r="X330" i="38"/>
  <c r="W330" i="38"/>
  <c r="V330" i="38"/>
  <c r="U330" i="38"/>
  <c r="T330" i="38"/>
  <c r="S330" i="38"/>
  <c r="Q330" i="38"/>
  <c r="O330" i="38"/>
  <c r="M330" i="38"/>
  <c r="K330" i="38"/>
  <c r="X329" i="38"/>
  <c r="W329" i="38"/>
  <c r="V329" i="38"/>
  <c r="U329" i="38"/>
  <c r="T329" i="38"/>
  <c r="S329" i="38"/>
  <c r="Q329" i="38"/>
  <c r="O329" i="38"/>
  <c r="M329" i="38"/>
  <c r="K329" i="38"/>
  <c r="X328" i="38"/>
  <c r="W328" i="38"/>
  <c r="V328" i="38"/>
  <c r="U328" i="38"/>
  <c r="T328" i="38"/>
  <c r="S328" i="38"/>
  <c r="Q328" i="38"/>
  <c r="O328" i="38"/>
  <c r="M328" i="38"/>
  <c r="K328" i="38"/>
  <c r="X327" i="38"/>
  <c r="W327" i="38"/>
  <c r="V327" i="38"/>
  <c r="U327" i="38"/>
  <c r="T327" i="38"/>
  <c r="S327" i="38"/>
  <c r="Q327" i="38"/>
  <c r="O327" i="38"/>
  <c r="M327" i="38"/>
  <c r="K327" i="38"/>
  <c r="X326" i="38"/>
  <c r="W326" i="38"/>
  <c r="V326" i="38"/>
  <c r="U326" i="38"/>
  <c r="T326" i="38"/>
  <c r="S326" i="38"/>
  <c r="Q326" i="38"/>
  <c r="O326" i="38"/>
  <c r="M326" i="38"/>
  <c r="K326" i="38"/>
  <c r="X325" i="38"/>
  <c r="W325" i="38"/>
  <c r="V325" i="38"/>
  <c r="U325" i="38"/>
  <c r="T325" i="38"/>
  <c r="S325" i="38"/>
  <c r="Q325" i="38"/>
  <c r="O325" i="38"/>
  <c r="M325" i="38"/>
  <c r="K325" i="38"/>
  <c r="X324" i="38"/>
  <c r="W324" i="38"/>
  <c r="V324" i="38"/>
  <c r="U324" i="38"/>
  <c r="T324" i="38"/>
  <c r="S324" i="38"/>
  <c r="Q324" i="38"/>
  <c r="O324" i="38"/>
  <c r="M324" i="38"/>
  <c r="K324" i="38"/>
  <c r="X323" i="38"/>
  <c r="W323" i="38"/>
  <c r="V323" i="38"/>
  <c r="U323" i="38"/>
  <c r="T323" i="38"/>
  <c r="S323" i="38"/>
  <c r="Q323" i="38"/>
  <c r="O323" i="38"/>
  <c r="M323" i="38"/>
  <c r="K323" i="38"/>
  <c r="X322" i="38"/>
  <c r="W322" i="38"/>
  <c r="V322" i="38"/>
  <c r="U322" i="38"/>
  <c r="T322" i="38"/>
  <c r="S322" i="38"/>
  <c r="Q322" i="38"/>
  <c r="O322" i="38"/>
  <c r="M322" i="38"/>
  <c r="K322" i="38"/>
  <c r="X321" i="38"/>
  <c r="W321" i="38"/>
  <c r="V321" i="38"/>
  <c r="U321" i="38"/>
  <c r="T321" i="38"/>
  <c r="S321" i="38"/>
  <c r="Q321" i="38"/>
  <c r="O321" i="38"/>
  <c r="M321" i="38"/>
  <c r="K321" i="38"/>
  <c r="X320" i="38"/>
  <c r="W320" i="38"/>
  <c r="V320" i="38"/>
  <c r="U320" i="38"/>
  <c r="T320" i="38"/>
  <c r="S320" i="38"/>
  <c r="Q320" i="38"/>
  <c r="O320" i="38"/>
  <c r="M320" i="38"/>
  <c r="K320" i="38"/>
  <c r="X319" i="38"/>
  <c r="W319" i="38"/>
  <c r="V319" i="38"/>
  <c r="U319" i="38"/>
  <c r="T319" i="38"/>
  <c r="S319" i="38"/>
  <c r="Q319" i="38"/>
  <c r="O319" i="38"/>
  <c r="M319" i="38"/>
  <c r="K319" i="38"/>
  <c r="X318" i="38"/>
  <c r="W318" i="38"/>
  <c r="V318" i="38"/>
  <c r="U318" i="38"/>
  <c r="T318" i="38"/>
  <c r="S318" i="38"/>
  <c r="Q318" i="38"/>
  <c r="O318" i="38"/>
  <c r="M318" i="38"/>
  <c r="K318" i="38"/>
  <c r="X317" i="38"/>
  <c r="W317" i="38"/>
  <c r="V317" i="38"/>
  <c r="U317" i="38"/>
  <c r="T317" i="38"/>
  <c r="S317" i="38"/>
  <c r="Q317" i="38"/>
  <c r="O317" i="38"/>
  <c r="M317" i="38"/>
  <c r="K317" i="38"/>
  <c r="X316" i="38"/>
  <c r="W316" i="38"/>
  <c r="V316" i="38"/>
  <c r="U316" i="38"/>
  <c r="T316" i="38"/>
  <c r="S316" i="38"/>
  <c r="Q316" i="38"/>
  <c r="O316" i="38"/>
  <c r="M316" i="38"/>
  <c r="K316" i="38"/>
  <c r="X315" i="38"/>
  <c r="W315" i="38"/>
  <c r="V315" i="38"/>
  <c r="U315" i="38"/>
  <c r="T315" i="38"/>
  <c r="S315" i="38"/>
  <c r="Q315" i="38"/>
  <c r="O315" i="38"/>
  <c r="M315" i="38"/>
  <c r="K315" i="38"/>
  <c r="X314" i="38"/>
  <c r="W314" i="38"/>
  <c r="V314" i="38"/>
  <c r="U314" i="38"/>
  <c r="T314" i="38"/>
  <c r="S314" i="38"/>
  <c r="Q314" i="38"/>
  <c r="O314" i="38"/>
  <c r="M314" i="38"/>
  <c r="K314" i="38"/>
  <c r="X313" i="38"/>
  <c r="W313" i="38"/>
  <c r="V313" i="38"/>
  <c r="U313" i="38"/>
  <c r="T313" i="38"/>
  <c r="S313" i="38"/>
  <c r="Q313" i="38"/>
  <c r="O313" i="38"/>
  <c r="M313" i="38"/>
  <c r="K313" i="38"/>
  <c r="X312" i="38"/>
  <c r="W312" i="38"/>
  <c r="V312" i="38"/>
  <c r="U312" i="38"/>
  <c r="T312" i="38"/>
  <c r="S312" i="38"/>
  <c r="Q312" i="38"/>
  <c r="O312" i="38"/>
  <c r="M312" i="38"/>
  <c r="K312" i="38"/>
  <c r="X311" i="38"/>
  <c r="W311" i="38"/>
  <c r="V311" i="38"/>
  <c r="U311" i="38"/>
  <c r="T311" i="38"/>
  <c r="S311" i="38"/>
  <c r="Q311" i="38"/>
  <c r="O311" i="38"/>
  <c r="M311" i="38"/>
  <c r="K311" i="38"/>
  <c r="X310" i="38"/>
  <c r="W310" i="38"/>
  <c r="V310" i="38"/>
  <c r="U310" i="38"/>
  <c r="T310" i="38"/>
  <c r="S310" i="38"/>
  <c r="Q310" i="38"/>
  <c r="O310" i="38"/>
  <c r="M310" i="38"/>
  <c r="K310" i="38"/>
  <c r="X309" i="38"/>
  <c r="W309" i="38"/>
  <c r="V309" i="38"/>
  <c r="U309" i="38"/>
  <c r="T309" i="38"/>
  <c r="S309" i="38"/>
  <c r="Q309" i="38"/>
  <c r="O309" i="38"/>
  <c r="M309" i="38"/>
  <c r="K309" i="38"/>
  <c r="X308" i="38"/>
  <c r="W308" i="38"/>
  <c r="V308" i="38"/>
  <c r="U308" i="38"/>
  <c r="T308" i="38"/>
  <c r="S308" i="38"/>
  <c r="Q308" i="38"/>
  <c r="O308" i="38"/>
  <c r="M308" i="38"/>
  <c r="K308" i="38"/>
  <c r="X307" i="38"/>
  <c r="W307" i="38"/>
  <c r="V307" i="38"/>
  <c r="U307" i="38"/>
  <c r="T307" i="38"/>
  <c r="S307" i="38"/>
  <c r="Q307" i="38"/>
  <c r="O307" i="38"/>
  <c r="M307" i="38"/>
  <c r="K307" i="38"/>
  <c r="X306" i="38"/>
  <c r="W306" i="38"/>
  <c r="V306" i="38"/>
  <c r="U306" i="38"/>
  <c r="T306" i="38"/>
  <c r="S306" i="38"/>
  <c r="Q306" i="38"/>
  <c r="O306" i="38"/>
  <c r="M306" i="38"/>
  <c r="K306" i="38"/>
  <c r="X305" i="38"/>
  <c r="W305" i="38"/>
  <c r="V305" i="38"/>
  <c r="U305" i="38"/>
  <c r="T305" i="38"/>
  <c r="S305" i="38"/>
  <c r="Q305" i="38"/>
  <c r="O305" i="38"/>
  <c r="M305" i="38"/>
  <c r="K305" i="38"/>
  <c r="X304" i="38"/>
  <c r="W304" i="38"/>
  <c r="V304" i="38"/>
  <c r="U304" i="38"/>
  <c r="T304" i="38"/>
  <c r="S304" i="38"/>
  <c r="Q304" i="38"/>
  <c r="O304" i="38"/>
  <c r="M304" i="38"/>
  <c r="K304" i="38"/>
  <c r="X303" i="38"/>
  <c r="W303" i="38"/>
  <c r="V303" i="38"/>
  <c r="U303" i="38"/>
  <c r="T303" i="38"/>
  <c r="S303" i="38"/>
  <c r="Q303" i="38"/>
  <c r="O303" i="38"/>
  <c r="M303" i="38"/>
  <c r="K303" i="38"/>
  <c r="X302" i="38"/>
  <c r="W302" i="38"/>
  <c r="V302" i="38"/>
  <c r="U302" i="38"/>
  <c r="T302" i="38"/>
  <c r="S302" i="38"/>
  <c r="Q302" i="38"/>
  <c r="O302" i="38"/>
  <c r="M302" i="38"/>
  <c r="K302" i="38"/>
  <c r="X301" i="38"/>
  <c r="W301" i="38"/>
  <c r="V301" i="38"/>
  <c r="U301" i="38"/>
  <c r="T301" i="38"/>
  <c r="S301" i="38"/>
  <c r="Q301" i="38"/>
  <c r="O301" i="38"/>
  <c r="M301" i="38"/>
  <c r="K301" i="38"/>
  <c r="X300" i="38"/>
  <c r="W300" i="38"/>
  <c r="V300" i="38"/>
  <c r="U300" i="38"/>
  <c r="T300" i="38"/>
  <c r="S300" i="38"/>
  <c r="Q300" i="38"/>
  <c r="O300" i="38"/>
  <c r="M300" i="38"/>
  <c r="K300" i="38"/>
  <c r="X299" i="38"/>
  <c r="W299" i="38"/>
  <c r="V299" i="38"/>
  <c r="U299" i="38"/>
  <c r="T299" i="38"/>
  <c r="S299" i="38"/>
  <c r="Q299" i="38"/>
  <c r="O299" i="38"/>
  <c r="M299" i="38"/>
  <c r="K299" i="38"/>
  <c r="X298" i="38"/>
  <c r="W298" i="38"/>
  <c r="V298" i="38"/>
  <c r="U298" i="38"/>
  <c r="T298" i="38"/>
  <c r="S298" i="38"/>
  <c r="Q298" i="38"/>
  <c r="O298" i="38"/>
  <c r="M298" i="38"/>
  <c r="K298" i="38"/>
  <c r="X297" i="38"/>
  <c r="W297" i="38"/>
  <c r="V297" i="38"/>
  <c r="U297" i="38"/>
  <c r="T297" i="38"/>
  <c r="S297" i="38"/>
  <c r="Q297" i="38"/>
  <c r="O297" i="38"/>
  <c r="M297" i="38"/>
  <c r="K297" i="38"/>
  <c r="X296" i="38"/>
  <c r="W296" i="38"/>
  <c r="V296" i="38"/>
  <c r="U296" i="38"/>
  <c r="T296" i="38"/>
  <c r="S296" i="38"/>
  <c r="Q296" i="38"/>
  <c r="O296" i="38"/>
  <c r="M296" i="38"/>
  <c r="K296" i="38"/>
  <c r="X295" i="38"/>
  <c r="W295" i="38"/>
  <c r="V295" i="38"/>
  <c r="U295" i="38"/>
  <c r="T295" i="38"/>
  <c r="S295" i="38"/>
  <c r="Q295" i="38"/>
  <c r="O295" i="38"/>
  <c r="M295" i="38"/>
  <c r="K295" i="38"/>
  <c r="X294" i="38"/>
  <c r="W294" i="38"/>
  <c r="V294" i="38"/>
  <c r="U294" i="38"/>
  <c r="T294" i="38"/>
  <c r="S294" i="38"/>
  <c r="Q294" i="38"/>
  <c r="O294" i="38"/>
  <c r="M294" i="38"/>
  <c r="K294" i="38"/>
  <c r="X293" i="38"/>
  <c r="W293" i="38"/>
  <c r="V293" i="38"/>
  <c r="U293" i="38"/>
  <c r="T293" i="38"/>
  <c r="S293" i="38"/>
  <c r="Q293" i="38"/>
  <c r="O293" i="38"/>
  <c r="M293" i="38"/>
  <c r="K293" i="38"/>
  <c r="X292" i="38"/>
  <c r="W292" i="38"/>
  <c r="V292" i="38"/>
  <c r="U292" i="38"/>
  <c r="T292" i="38"/>
  <c r="S292" i="38"/>
  <c r="Q292" i="38"/>
  <c r="O292" i="38"/>
  <c r="M292" i="38"/>
  <c r="K292" i="38"/>
  <c r="X291" i="38"/>
  <c r="W291" i="38"/>
  <c r="V291" i="38"/>
  <c r="U291" i="38"/>
  <c r="T291" i="38"/>
  <c r="S291" i="38"/>
  <c r="Q291" i="38"/>
  <c r="O291" i="38"/>
  <c r="M291" i="38"/>
  <c r="K291" i="38"/>
  <c r="X290" i="38"/>
  <c r="W290" i="38"/>
  <c r="V290" i="38"/>
  <c r="U290" i="38"/>
  <c r="T290" i="38"/>
  <c r="S290" i="38"/>
  <c r="Q290" i="38"/>
  <c r="O290" i="38"/>
  <c r="M290" i="38"/>
  <c r="K290" i="38"/>
  <c r="X289" i="38"/>
  <c r="W289" i="38"/>
  <c r="V289" i="38"/>
  <c r="U289" i="38"/>
  <c r="T289" i="38"/>
  <c r="S289" i="38"/>
  <c r="Q289" i="38"/>
  <c r="O289" i="38"/>
  <c r="M289" i="38"/>
  <c r="K289" i="38"/>
  <c r="X288" i="38"/>
  <c r="W288" i="38"/>
  <c r="V288" i="38"/>
  <c r="U288" i="38"/>
  <c r="T288" i="38"/>
  <c r="S288" i="38"/>
  <c r="Q288" i="38"/>
  <c r="O288" i="38"/>
  <c r="M288" i="38"/>
  <c r="K288" i="38"/>
  <c r="X287" i="38"/>
  <c r="W287" i="38"/>
  <c r="V287" i="38"/>
  <c r="U287" i="38"/>
  <c r="T287" i="38"/>
  <c r="S287" i="38"/>
  <c r="Q287" i="38"/>
  <c r="O287" i="38"/>
  <c r="M287" i="38"/>
  <c r="K287" i="38"/>
  <c r="X286" i="38"/>
  <c r="W286" i="38"/>
  <c r="V286" i="38"/>
  <c r="U286" i="38"/>
  <c r="T286" i="38"/>
  <c r="S286" i="38"/>
  <c r="Q286" i="38"/>
  <c r="O286" i="38"/>
  <c r="M286" i="38"/>
  <c r="K286" i="38"/>
  <c r="X285" i="38"/>
  <c r="W285" i="38"/>
  <c r="V285" i="38"/>
  <c r="U285" i="38"/>
  <c r="T285" i="38"/>
  <c r="S285" i="38"/>
  <c r="Q285" i="38"/>
  <c r="O285" i="38"/>
  <c r="M285" i="38"/>
  <c r="K285" i="38"/>
  <c r="X284" i="38"/>
  <c r="W284" i="38"/>
  <c r="V284" i="38"/>
  <c r="U284" i="38"/>
  <c r="T284" i="38"/>
  <c r="S284" i="38"/>
  <c r="Q284" i="38"/>
  <c r="O284" i="38"/>
  <c r="M284" i="38"/>
  <c r="K284" i="38"/>
  <c r="X283" i="38"/>
  <c r="W283" i="38"/>
  <c r="V283" i="38"/>
  <c r="U283" i="38"/>
  <c r="T283" i="38"/>
  <c r="S283" i="38"/>
  <c r="Q283" i="38"/>
  <c r="O283" i="38"/>
  <c r="M283" i="38"/>
  <c r="K283" i="38"/>
  <c r="X282" i="38"/>
  <c r="W282" i="38"/>
  <c r="V282" i="38"/>
  <c r="U282" i="38"/>
  <c r="T282" i="38"/>
  <c r="S282" i="38"/>
  <c r="Q282" i="38"/>
  <c r="O282" i="38"/>
  <c r="M282" i="38"/>
  <c r="K282" i="38"/>
  <c r="X281" i="38"/>
  <c r="W281" i="38"/>
  <c r="V281" i="38"/>
  <c r="U281" i="38"/>
  <c r="T281" i="38"/>
  <c r="S281" i="38"/>
  <c r="Q281" i="38"/>
  <c r="O281" i="38"/>
  <c r="M281" i="38"/>
  <c r="K281" i="38"/>
  <c r="X280" i="38"/>
  <c r="W280" i="38"/>
  <c r="V280" i="38"/>
  <c r="U280" i="38"/>
  <c r="T280" i="38"/>
  <c r="S280" i="38"/>
  <c r="Q280" i="38"/>
  <c r="O280" i="38"/>
  <c r="M280" i="38"/>
  <c r="K280" i="38"/>
  <c r="X279" i="38"/>
  <c r="W279" i="38"/>
  <c r="V279" i="38"/>
  <c r="U279" i="38"/>
  <c r="T279" i="38"/>
  <c r="S279" i="38"/>
  <c r="Q279" i="38"/>
  <c r="O279" i="38"/>
  <c r="M279" i="38"/>
  <c r="K279" i="38"/>
  <c r="X278" i="38"/>
  <c r="W278" i="38"/>
  <c r="V278" i="38"/>
  <c r="U278" i="38"/>
  <c r="T278" i="38"/>
  <c r="S278" i="38"/>
  <c r="Q278" i="38"/>
  <c r="O278" i="38"/>
  <c r="M278" i="38"/>
  <c r="K278" i="38"/>
  <c r="X277" i="38"/>
  <c r="W277" i="38"/>
  <c r="V277" i="38"/>
  <c r="U277" i="38"/>
  <c r="T277" i="38"/>
  <c r="S277" i="38"/>
  <c r="Q277" i="38"/>
  <c r="O277" i="38"/>
  <c r="M277" i="38"/>
  <c r="K277" i="38"/>
  <c r="X276" i="38"/>
  <c r="W276" i="38"/>
  <c r="V276" i="38"/>
  <c r="U276" i="38"/>
  <c r="T276" i="38"/>
  <c r="S276" i="38"/>
  <c r="Q276" i="38"/>
  <c r="O276" i="38"/>
  <c r="M276" i="38"/>
  <c r="K276" i="38"/>
  <c r="X275" i="38"/>
  <c r="W275" i="38"/>
  <c r="V275" i="38"/>
  <c r="U275" i="38"/>
  <c r="T275" i="38"/>
  <c r="S275" i="38"/>
  <c r="Q275" i="38"/>
  <c r="O275" i="38"/>
  <c r="M275" i="38"/>
  <c r="K275" i="38"/>
  <c r="X274" i="38"/>
  <c r="W274" i="38"/>
  <c r="V274" i="38"/>
  <c r="U274" i="38"/>
  <c r="T274" i="38"/>
  <c r="S274" i="38"/>
  <c r="Q274" i="38"/>
  <c r="O274" i="38"/>
  <c r="M274" i="38"/>
  <c r="K274" i="38"/>
  <c r="X273" i="38"/>
  <c r="W273" i="38"/>
  <c r="V273" i="38"/>
  <c r="U273" i="38"/>
  <c r="T273" i="38"/>
  <c r="S273" i="38"/>
  <c r="Q273" i="38"/>
  <c r="O273" i="38"/>
  <c r="M273" i="38"/>
  <c r="K273" i="38"/>
  <c r="X272" i="38"/>
  <c r="W272" i="38"/>
  <c r="V272" i="38"/>
  <c r="U272" i="38"/>
  <c r="T272" i="38"/>
  <c r="S272" i="38"/>
  <c r="Q272" i="38"/>
  <c r="O272" i="38"/>
  <c r="M272" i="38"/>
  <c r="K272" i="38"/>
  <c r="X271" i="38"/>
  <c r="W271" i="38"/>
  <c r="V271" i="38"/>
  <c r="U271" i="38"/>
  <c r="T271" i="38"/>
  <c r="S271" i="38"/>
  <c r="Q271" i="38"/>
  <c r="O271" i="38"/>
  <c r="M271" i="38"/>
  <c r="K271" i="38"/>
  <c r="X270" i="38"/>
  <c r="W270" i="38"/>
  <c r="V270" i="38"/>
  <c r="U270" i="38"/>
  <c r="T270" i="38"/>
  <c r="S270" i="38"/>
  <c r="Q270" i="38"/>
  <c r="O270" i="38"/>
  <c r="M270" i="38"/>
  <c r="K270" i="38"/>
  <c r="X269" i="38"/>
  <c r="W269" i="38"/>
  <c r="V269" i="38"/>
  <c r="U269" i="38"/>
  <c r="T269" i="38"/>
  <c r="S269" i="38"/>
  <c r="Q269" i="38"/>
  <c r="O269" i="38"/>
  <c r="M269" i="38"/>
  <c r="K269" i="38"/>
  <c r="X268" i="38"/>
  <c r="W268" i="38"/>
  <c r="V268" i="38"/>
  <c r="U268" i="38"/>
  <c r="T268" i="38"/>
  <c r="S268" i="38"/>
  <c r="Q268" i="38"/>
  <c r="O268" i="38"/>
  <c r="M268" i="38"/>
  <c r="K268" i="38"/>
  <c r="X267" i="38"/>
  <c r="W267" i="38"/>
  <c r="V267" i="38"/>
  <c r="U267" i="38"/>
  <c r="T267" i="38"/>
  <c r="S267" i="38"/>
  <c r="Q267" i="38"/>
  <c r="O267" i="38"/>
  <c r="M267" i="38"/>
  <c r="K267" i="38"/>
  <c r="X266" i="38"/>
  <c r="W266" i="38"/>
  <c r="V266" i="38"/>
  <c r="U266" i="38"/>
  <c r="T266" i="38"/>
  <c r="S266" i="38"/>
  <c r="Q266" i="38"/>
  <c r="O266" i="38"/>
  <c r="M266" i="38"/>
  <c r="K266" i="38"/>
  <c r="X265" i="38"/>
  <c r="W265" i="38"/>
  <c r="V265" i="38"/>
  <c r="U265" i="38"/>
  <c r="T265" i="38"/>
  <c r="S265" i="38"/>
  <c r="Q265" i="38"/>
  <c r="O265" i="38"/>
  <c r="M265" i="38"/>
  <c r="K265" i="38"/>
  <c r="X264" i="38"/>
  <c r="W264" i="38"/>
  <c r="V264" i="38"/>
  <c r="U264" i="38"/>
  <c r="T264" i="38"/>
  <c r="S264" i="38"/>
  <c r="Q264" i="38"/>
  <c r="O264" i="38"/>
  <c r="M264" i="38"/>
  <c r="K264" i="38"/>
  <c r="X263" i="38"/>
  <c r="W263" i="38"/>
  <c r="V263" i="38"/>
  <c r="U263" i="38"/>
  <c r="T263" i="38"/>
  <c r="S263" i="38"/>
  <c r="Q263" i="38"/>
  <c r="O263" i="38"/>
  <c r="M263" i="38"/>
  <c r="K263" i="38"/>
  <c r="X262" i="38"/>
  <c r="W262" i="38"/>
  <c r="V262" i="38"/>
  <c r="U262" i="38"/>
  <c r="T262" i="38"/>
  <c r="S262" i="38"/>
  <c r="Q262" i="38"/>
  <c r="O262" i="38"/>
  <c r="M262" i="38"/>
  <c r="K262" i="38"/>
  <c r="X261" i="38"/>
  <c r="W261" i="38"/>
  <c r="V261" i="38"/>
  <c r="U261" i="38"/>
  <c r="T261" i="38"/>
  <c r="S261" i="38"/>
  <c r="Q261" i="38"/>
  <c r="O261" i="38"/>
  <c r="M261" i="38"/>
  <c r="K261" i="38"/>
  <c r="X260" i="38"/>
  <c r="W260" i="38"/>
  <c r="V260" i="38"/>
  <c r="U260" i="38"/>
  <c r="T260" i="38"/>
  <c r="S260" i="38"/>
  <c r="Q260" i="38"/>
  <c r="O260" i="38"/>
  <c r="M260" i="38"/>
  <c r="K260" i="38"/>
  <c r="X259" i="38"/>
  <c r="W259" i="38"/>
  <c r="V259" i="38"/>
  <c r="U259" i="38"/>
  <c r="T259" i="38"/>
  <c r="S259" i="38"/>
  <c r="Q259" i="38"/>
  <c r="O259" i="38"/>
  <c r="M259" i="38"/>
  <c r="K259" i="38"/>
  <c r="X258" i="38"/>
  <c r="W258" i="38"/>
  <c r="V258" i="38"/>
  <c r="U258" i="38"/>
  <c r="T258" i="38"/>
  <c r="S258" i="38"/>
  <c r="Q258" i="38"/>
  <c r="O258" i="38"/>
  <c r="M258" i="38"/>
  <c r="K258" i="38"/>
  <c r="X257" i="38"/>
  <c r="W257" i="38"/>
  <c r="V257" i="38"/>
  <c r="U257" i="38"/>
  <c r="T257" i="38"/>
  <c r="S257" i="38"/>
  <c r="Q257" i="38"/>
  <c r="O257" i="38"/>
  <c r="M257" i="38"/>
  <c r="K257" i="38"/>
  <c r="X256" i="38"/>
  <c r="W256" i="38"/>
  <c r="V256" i="38"/>
  <c r="U256" i="38"/>
  <c r="T256" i="38"/>
  <c r="S256" i="38"/>
  <c r="Q256" i="38"/>
  <c r="O256" i="38"/>
  <c r="M256" i="38"/>
  <c r="K256" i="38"/>
  <c r="X255" i="38"/>
  <c r="W255" i="38"/>
  <c r="V255" i="38"/>
  <c r="U255" i="38"/>
  <c r="T255" i="38"/>
  <c r="S255" i="38"/>
  <c r="Q255" i="38"/>
  <c r="O255" i="38"/>
  <c r="M255" i="38"/>
  <c r="K255" i="38"/>
  <c r="X254" i="38"/>
  <c r="W254" i="38"/>
  <c r="V254" i="38"/>
  <c r="U254" i="38"/>
  <c r="T254" i="38"/>
  <c r="S254" i="38"/>
  <c r="Q254" i="38"/>
  <c r="O254" i="38"/>
  <c r="M254" i="38"/>
  <c r="K254" i="38"/>
  <c r="X253" i="38"/>
  <c r="W253" i="38"/>
  <c r="V253" i="38"/>
  <c r="U253" i="38"/>
  <c r="T253" i="38"/>
  <c r="S253" i="38"/>
  <c r="Q253" i="38"/>
  <c r="O253" i="38"/>
  <c r="M253" i="38"/>
  <c r="K253" i="38"/>
  <c r="X252" i="38"/>
  <c r="W252" i="38"/>
  <c r="V252" i="38"/>
  <c r="U252" i="38"/>
  <c r="T252" i="38"/>
  <c r="S252" i="38"/>
  <c r="Q252" i="38"/>
  <c r="O252" i="38"/>
  <c r="M252" i="38"/>
  <c r="K252" i="38"/>
  <c r="X251" i="38"/>
  <c r="W251" i="38"/>
  <c r="V251" i="38"/>
  <c r="U251" i="38"/>
  <c r="T251" i="38"/>
  <c r="S251" i="38"/>
  <c r="Q251" i="38"/>
  <c r="O251" i="38"/>
  <c r="M251" i="38"/>
  <c r="K251" i="38"/>
  <c r="X250" i="38"/>
  <c r="W250" i="38"/>
  <c r="V250" i="38"/>
  <c r="U250" i="38"/>
  <c r="T250" i="38"/>
  <c r="S250" i="38"/>
  <c r="Q250" i="38"/>
  <c r="O250" i="38"/>
  <c r="M250" i="38"/>
  <c r="K250" i="38"/>
  <c r="X249" i="38"/>
  <c r="W249" i="38"/>
  <c r="V249" i="38"/>
  <c r="U249" i="38"/>
  <c r="T249" i="38"/>
  <c r="S249" i="38"/>
  <c r="Q249" i="38"/>
  <c r="O249" i="38"/>
  <c r="M249" i="38"/>
  <c r="K249" i="38"/>
  <c r="X248" i="38"/>
  <c r="W248" i="38"/>
  <c r="V248" i="38"/>
  <c r="U248" i="38"/>
  <c r="T248" i="38"/>
  <c r="S248" i="38"/>
  <c r="Q248" i="38"/>
  <c r="O248" i="38"/>
  <c r="M248" i="38"/>
  <c r="K248" i="38"/>
  <c r="X247" i="38"/>
  <c r="W247" i="38"/>
  <c r="V247" i="38"/>
  <c r="U247" i="38"/>
  <c r="T247" i="38"/>
  <c r="S247" i="38"/>
  <c r="Q247" i="38"/>
  <c r="O247" i="38"/>
  <c r="M247" i="38"/>
  <c r="K247" i="38"/>
  <c r="X246" i="38"/>
  <c r="W246" i="38"/>
  <c r="V246" i="38"/>
  <c r="U246" i="38"/>
  <c r="T246" i="38"/>
  <c r="S246" i="38"/>
  <c r="Q246" i="38"/>
  <c r="O246" i="38"/>
  <c r="M246" i="38"/>
  <c r="K246" i="38"/>
  <c r="X245" i="38"/>
  <c r="W245" i="38"/>
  <c r="V245" i="38"/>
  <c r="U245" i="38"/>
  <c r="T245" i="38"/>
  <c r="S245" i="38"/>
  <c r="Q245" i="38"/>
  <c r="O245" i="38"/>
  <c r="M245" i="38"/>
  <c r="K245" i="38"/>
  <c r="X244" i="38"/>
  <c r="W244" i="38"/>
  <c r="V244" i="38"/>
  <c r="U244" i="38"/>
  <c r="T244" i="38"/>
  <c r="S244" i="38"/>
  <c r="Q244" i="38"/>
  <c r="O244" i="38"/>
  <c r="M244" i="38"/>
  <c r="K244" i="38"/>
  <c r="X243" i="38"/>
  <c r="W243" i="38"/>
  <c r="V243" i="38"/>
  <c r="U243" i="38"/>
  <c r="T243" i="38"/>
  <c r="S243" i="38"/>
  <c r="Q243" i="38"/>
  <c r="O243" i="38"/>
  <c r="M243" i="38"/>
  <c r="K243" i="38"/>
  <c r="X242" i="38"/>
  <c r="W242" i="38"/>
  <c r="V242" i="38"/>
  <c r="U242" i="38"/>
  <c r="T242" i="38"/>
  <c r="S242" i="38"/>
  <c r="Q242" i="38"/>
  <c r="O242" i="38"/>
  <c r="M242" i="38"/>
  <c r="K242" i="38"/>
  <c r="X241" i="38"/>
  <c r="W241" i="38"/>
  <c r="V241" i="38"/>
  <c r="U241" i="38"/>
  <c r="T241" i="38"/>
  <c r="S241" i="38"/>
  <c r="Q241" i="38"/>
  <c r="O241" i="38"/>
  <c r="M241" i="38"/>
  <c r="K241" i="38"/>
  <c r="X240" i="38"/>
  <c r="W240" i="38"/>
  <c r="V240" i="38"/>
  <c r="U240" i="38"/>
  <c r="T240" i="38"/>
  <c r="S240" i="38"/>
  <c r="Q240" i="38"/>
  <c r="O240" i="38"/>
  <c r="M240" i="38"/>
  <c r="K240" i="38"/>
  <c r="X239" i="38"/>
  <c r="W239" i="38"/>
  <c r="V239" i="38"/>
  <c r="U239" i="38"/>
  <c r="T239" i="38"/>
  <c r="S239" i="38"/>
  <c r="Q239" i="38"/>
  <c r="O239" i="38"/>
  <c r="M239" i="38"/>
  <c r="K239" i="38"/>
  <c r="X238" i="38"/>
  <c r="W238" i="38"/>
  <c r="V238" i="38"/>
  <c r="U238" i="38"/>
  <c r="T238" i="38"/>
  <c r="S238" i="38"/>
  <c r="Q238" i="38"/>
  <c r="O238" i="38"/>
  <c r="M238" i="38"/>
  <c r="K238" i="38"/>
  <c r="X237" i="38"/>
  <c r="W237" i="38"/>
  <c r="V237" i="38"/>
  <c r="U237" i="38"/>
  <c r="T237" i="38"/>
  <c r="S237" i="38"/>
  <c r="Q237" i="38"/>
  <c r="O237" i="38"/>
  <c r="M237" i="38"/>
  <c r="K237" i="38"/>
  <c r="X236" i="38"/>
  <c r="W236" i="38"/>
  <c r="V236" i="38"/>
  <c r="U236" i="38"/>
  <c r="T236" i="38"/>
  <c r="S236" i="38"/>
  <c r="Q236" i="38"/>
  <c r="O236" i="38"/>
  <c r="M236" i="38"/>
  <c r="K236" i="38"/>
  <c r="X235" i="38"/>
  <c r="W235" i="38"/>
  <c r="V235" i="38"/>
  <c r="U235" i="38"/>
  <c r="T235" i="38"/>
  <c r="S235" i="38"/>
  <c r="Q235" i="38"/>
  <c r="O235" i="38"/>
  <c r="M235" i="38"/>
  <c r="K235" i="38"/>
  <c r="X234" i="38"/>
  <c r="W234" i="38"/>
  <c r="V234" i="38"/>
  <c r="U234" i="38"/>
  <c r="T234" i="38"/>
  <c r="S234" i="38"/>
  <c r="Q234" i="38"/>
  <c r="O234" i="38"/>
  <c r="M234" i="38"/>
  <c r="K234" i="38"/>
  <c r="X233" i="38"/>
  <c r="W233" i="38"/>
  <c r="V233" i="38"/>
  <c r="U233" i="38"/>
  <c r="T233" i="38"/>
  <c r="S233" i="38"/>
  <c r="Q233" i="38"/>
  <c r="O233" i="38"/>
  <c r="M233" i="38"/>
  <c r="K233" i="38"/>
  <c r="X232" i="38"/>
  <c r="W232" i="38"/>
  <c r="V232" i="38"/>
  <c r="U232" i="38"/>
  <c r="T232" i="38"/>
  <c r="S232" i="38"/>
  <c r="Q232" i="38"/>
  <c r="O232" i="38"/>
  <c r="M232" i="38"/>
  <c r="K232" i="38"/>
  <c r="X231" i="38"/>
  <c r="W231" i="38"/>
  <c r="V231" i="38"/>
  <c r="U231" i="38"/>
  <c r="T231" i="38"/>
  <c r="S231" i="38"/>
  <c r="Q231" i="38"/>
  <c r="O231" i="38"/>
  <c r="M231" i="38"/>
  <c r="K231" i="38"/>
  <c r="X230" i="38"/>
  <c r="W230" i="38"/>
  <c r="V230" i="38"/>
  <c r="U230" i="38"/>
  <c r="T230" i="38"/>
  <c r="S230" i="38"/>
  <c r="Q230" i="38"/>
  <c r="O230" i="38"/>
  <c r="M230" i="38"/>
  <c r="K230" i="38"/>
  <c r="X229" i="38"/>
  <c r="W229" i="38"/>
  <c r="V229" i="38"/>
  <c r="U229" i="38"/>
  <c r="T229" i="38"/>
  <c r="S229" i="38"/>
  <c r="Q229" i="38"/>
  <c r="O229" i="38"/>
  <c r="M229" i="38"/>
  <c r="K229" i="38"/>
  <c r="X228" i="38"/>
  <c r="W228" i="38"/>
  <c r="V228" i="38"/>
  <c r="U228" i="38"/>
  <c r="T228" i="38"/>
  <c r="S228" i="38"/>
  <c r="Q228" i="38"/>
  <c r="O228" i="38"/>
  <c r="M228" i="38"/>
  <c r="K228" i="38"/>
  <c r="X227" i="38"/>
  <c r="W227" i="38"/>
  <c r="V227" i="38"/>
  <c r="U227" i="38"/>
  <c r="T227" i="38"/>
  <c r="S227" i="38"/>
  <c r="Q227" i="38"/>
  <c r="O227" i="38"/>
  <c r="M227" i="38"/>
  <c r="K227" i="38"/>
  <c r="X226" i="38"/>
  <c r="W226" i="38"/>
  <c r="V226" i="38"/>
  <c r="U226" i="38"/>
  <c r="T226" i="38"/>
  <c r="S226" i="38"/>
  <c r="Q226" i="38"/>
  <c r="O226" i="38"/>
  <c r="M226" i="38"/>
  <c r="K226" i="38"/>
  <c r="X225" i="38"/>
  <c r="W225" i="38"/>
  <c r="V225" i="38"/>
  <c r="U225" i="38"/>
  <c r="T225" i="38"/>
  <c r="S225" i="38"/>
  <c r="Q225" i="38"/>
  <c r="O225" i="38"/>
  <c r="M225" i="38"/>
  <c r="K225" i="38"/>
  <c r="X224" i="38"/>
  <c r="W224" i="38"/>
  <c r="V224" i="38"/>
  <c r="U224" i="38"/>
  <c r="T224" i="38"/>
  <c r="S224" i="38"/>
  <c r="Q224" i="38"/>
  <c r="O224" i="38"/>
  <c r="M224" i="38"/>
  <c r="K224" i="38"/>
  <c r="X223" i="38"/>
  <c r="W223" i="38"/>
  <c r="V223" i="38"/>
  <c r="U223" i="38"/>
  <c r="T223" i="38"/>
  <c r="S223" i="38"/>
  <c r="Q223" i="38"/>
  <c r="O223" i="38"/>
  <c r="M223" i="38"/>
  <c r="K223" i="38"/>
  <c r="X222" i="38"/>
  <c r="W222" i="38"/>
  <c r="V222" i="38"/>
  <c r="U222" i="38"/>
  <c r="T222" i="38"/>
  <c r="S222" i="38"/>
  <c r="Q222" i="38"/>
  <c r="O222" i="38"/>
  <c r="M222" i="38"/>
  <c r="K222" i="38"/>
  <c r="X221" i="38"/>
  <c r="W221" i="38"/>
  <c r="V221" i="38"/>
  <c r="U221" i="38"/>
  <c r="T221" i="38"/>
  <c r="S221" i="38"/>
  <c r="Q221" i="38"/>
  <c r="O221" i="38"/>
  <c r="M221" i="38"/>
  <c r="K221" i="38"/>
  <c r="X220" i="38"/>
  <c r="W220" i="38"/>
  <c r="V220" i="38"/>
  <c r="U220" i="38"/>
  <c r="T220" i="38"/>
  <c r="S220" i="38"/>
  <c r="Q220" i="38"/>
  <c r="O220" i="38"/>
  <c r="M220" i="38"/>
  <c r="K220" i="38"/>
  <c r="X219" i="38"/>
  <c r="W219" i="38"/>
  <c r="V219" i="38"/>
  <c r="U219" i="38"/>
  <c r="T219" i="38"/>
  <c r="S219" i="38"/>
  <c r="Q219" i="38"/>
  <c r="O219" i="38"/>
  <c r="M219" i="38"/>
  <c r="K219" i="38"/>
  <c r="X218" i="38"/>
  <c r="W218" i="38"/>
  <c r="V218" i="38"/>
  <c r="U218" i="38"/>
  <c r="T218" i="38"/>
  <c r="S218" i="38"/>
  <c r="Q218" i="38"/>
  <c r="O218" i="38"/>
  <c r="M218" i="38"/>
  <c r="K218" i="38"/>
  <c r="X217" i="38"/>
  <c r="W217" i="38"/>
  <c r="V217" i="38"/>
  <c r="U217" i="38"/>
  <c r="T217" i="38"/>
  <c r="S217" i="38"/>
  <c r="Q217" i="38"/>
  <c r="O217" i="38"/>
  <c r="M217" i="38"/>
  <c r="K217" i="38"/>
  <c r="X216" i="38"/>
  <c r="W216" i="38"/>
  <c r="V216" i="38"/>
  <c r="U216" i="38"/>
  <c r="T216" i="38"/>
  <c r="S216" i="38"/>
  <c r="Q216" i="38"/>
  <c r="O216" i="38"/>
  <c r="M216" i="38"/>
  <c r="K216" i="38"/>
  <c r="X215" i="38"/>
  <c r="W215" i="38"/>
  <c r="V215" i="38"/>
  <c r="U215" i="38"/>
  <c r="T215" i="38"/>
  <c r="S215" i="38"/>
  <c r="Q215" i="38"/>
  <c r="O215" i="38"/>
  <c r="M215" i="38"/>
  <c r="K215" i="38"/>
  <c r="X214" i="38"/>
  <c r="W214" i="38"/>
  <c r="V214" i="38"/>
  <c r="U214" i="38"/>
  <c r="T214" i="38"/>
  <c r="S214" i="38"/>
  <c r="Q214" i="38"/>
  <c r="O214" i="38"/>
  <c r="M214" i="38"/>
  <c r="K214" i="38"/>
  <c r="X213" i="38"/>
  <c r="W213" i="38"/>
  <c r="V213" i="38"/>
  <c r="U213" i="38"/>
  <c r="T213" i="38"/>
  <c r="S213" i="38"/>
  <c r="Q213" i="38"/>
  <c r="O213" i="38"/>
  <c r="M213" i="38"/>
  <c r="K213" i="38"/>
  <c r="X212" i="38"/>
  <c r="W212" i="38"/>
  <c r="V212" i="38"/>
  <c r="U212" i="38"/>
  <c r="T212" i="38"/>
  <c r="S212" i="38"/>
  <c r="Q212" i="38"/>
  <c r="O212" i="38"/>
  <c r="M212" i="38"/>
  <c r="K212" i="38"/>
  <c r="X211" i="38"/>
  <c r="W211" i="38"/>
  <c r="V211" i="38"/>
  <c r="U211" i="38"/>
  <c r="T211" i="38"/>
  <c r="S211" i="38"/>
  <c r="Q211" i="38"/>
  <c r="O211" i="38"/>
  <c r="M211" i="38"/>
  <c r="K211" i="38"/>
  <c r="X210" i="38"/>
  <c r="W210" i="38"/>
  <c r="V210" i="38"/>
  <c r="U210" i="38"/>
  <c r="T210" i="38"/>
  <c r="S210" i="38"/>
  <c r="Q210" i="38"/>
  <c r="O210" i="38"/>
  <c r="M210" i="38"/>
  <c r="K210" i="38"/>
  <c r="X209" i="38"/>
  <c r="W209" i="38"/>
  <c r="V209" i="38"/>
  <c r="U209" i="38"/>
  <c r="T209" i="38"/>
  <c r="S209" i="38"/>
  <c r="Q209" i="38"/>
  <c r="O209" i="38"/>
  <c r="M209" i="38"/>
  <c r="K209" i="38"/>
  <c r="X208" i="38"/>
  <c r="W208" i="38"/>
  <c r="V208" i="38"/>
  <c r="U208" i="38"/>
  <c r="T208" i="38"/>
  <c r="S208" i="38"/>
  <c r="Q208" i="38"/>
  <c r="O208" i="38"/>
  <c r="M208" i="38"/>
  <c r="K208" i="38"/>
  <c r="X207" i="38"/>
  <c r="W207" i="38"/>
  <c r="V207" i="38"/>
  <c r="U207" i="38"/>
  <c r="T207" i="38"/>
  <c r="S207" i="38"/>
  <c r="Q207" i="38"/>
  <c r="O207" i="38"/>
  <c r="M207" i="38"/>
  <c r="K207" i="38"/>
  <c r="X206" i="38"/>
  <c r="W206" i="38"/>
  <c r="V206" i="38"/>
  <c r="U206" i="38"/>
  <c r="T206" i="38"/>
  <c r="S206" i="38"/>
  <c r="Q206" i="38"/>
  <c r="O206" i="38"/>
  <c r="M206" i="38"/>
  <c r="K206" i="38"/>
  <c r="X205" i="38"/>
  <c r="W205" i="38"/>
  <c r="V205" i="38"/>
  <c r="U205" i="38"/>
  <c r="T205" i="38"/>
  <c r="S205" i="38"/>
  <c r="Q205" i="38"/>
  <c r="O205" i="38"/>
  <c r="M205" i="38"/>
  <c r="K205" i="38"/>
  <c r="X204" i="38"/>
  <c r="W204" i="38"/>
  <c r="V204" i="38"/>
  <c r="U204" i="38"/>
  <c r="T204" i="38"/>
  <c r="S204" i="38"/>
  <c r="Q204" i="38"/>
  <c r="O204" i="38"/>
  <c r="M204" i="38"/>
  <c r="K204" i="38"/>
  <c r="X203" i="38"/>
  <c r="W203" i="38"/>
  <c r="V203" i="38"/>
  <c r="U203" i="38"/>
  <c r="T203" i="38"/>
  <c r="S203" i="38"/>
  <c r="Q203" i="38"/>
  <c r="O203" i="38"/>
  <c r="M203" i="38"/>
  <c r="K203" i="38"/>
  <c r="X202" i="38"/>
  <c r="W202" i="38"/>
  <c r="V202" i="38"/>
  <c r="U202" i="38"/>
  <c r="T202" i="38"/>
  <c r="S202" i="38"/>
  <c r="Q202" i="38"/>
  <c r="O202" i="38"/>
  <c r="M202" i="38"/>
  <c r="K202" i="38"/>
  <c r="X201" i="38"/>
  <c r="W201" i="38"/>
  <c r="V201" i="38"/>
  <c r="U201" i="38"/>
  <c r="T201" i="38"/>
  <c r="S201" i="38"/>
  <c r="Q201" i="38"/>
  <c r="O201" i="38"/>
  <c r="M201" i="38"/>
  <c r="K201" i="38"/>
  <c r="X200" i="38"/>
  <c r="W200" i="38"/>
  <c r="V200" i="38"/>
  <c r="U200" i="38"/>
  <c r="T200" i="38"/>
  <c r="S200" i="38"/>
  <c r="Q200" i="38"/>
  <c r="O200" i="38"/>
  <c r="M200" i="38"/>
  <c r="K200" i="38"/>
  <c r="X199" i="38"/>
  <c r="W199" i="38"/>
  <c r="V199" i="38"/>
  <c r="U199" i="38"/>
  <c r="T199" i="38"/>
  <c r="S199" i="38"/>
  <c r="Q199" i="38"/>
  <c r="O199" i="38"/>
  <c r="M199" i="38"/>
  <c r="K199" i="38"/>
  <c r="X198" i="38"/>
  <c r="W198" i="38"/>
  <c r="V198" i="38"/>
  <c r="U198" i="38"/>
  <c r="T198" i="38"/>
  <c r="S198" i="38"/>
  <c r="Q198" i="38"/>
  <c r="O198" i="38"/>
  <c r="M198" i="38"/>
  <c r="K198" i="38"/>
  <c r="X197" i="38"/>
  <c r="W197" i="38"/>
  <c r="V197" i="38"/>
  <c r="U197" i="38"/>
  <c r="T197" i="38"/>
  <c r="S197" i="38"/>
  <c r="Q197" i="38"/>
  <c r="O197" i="38"/>
  <c r="M197" i="38"/>
  <c r="K197" i="38"/>
  <c r="X196" i="38"/>
  <c r="W196" i="38"/>
  <c r="V196" i="38"/>
  <c r="U196" i="38"/>
  <c r="T196" i="38"/>
  <c r="S196" i="38"/>
  <c r="Q196" i="38"/>
  <c r="O196" i="38"/>
  <c r="M196" i="38"/>
  <c r="K196" i="38"/>
  <c r="X195" i="38"/>
  <c r="W195" i="38"/>
  <c r="V195" i="38"/>
  <c r="U195" i="38"/>
  <c r="T195" i="38"/>
  <c r="S195" i="38"/>
  <c r="Q195" i="38"/>
  <c r="O195" i="38"/>
  <c r="M195" i="38"/>
  <c r="K195" i="38"/>
  <c r="X194" i="38"/>
  <c r="W194" i="38"/>
  <c r="V194" i="38"/>
  <c r="U194" i="38"/>
  <c r="T194" i="38"/>
  <c r="S194" i="38"/>
  <c r="Q194" i="38"/>
  <c r="O194" i="38"/>
  <c r="M194" i="38"/>
  <c r="K194" i="38"/>
  <c r="X193" i="38"/>
  <c r="W193" i="38"/>
  <c r="V193" i="38"/>
  <c r="U193" i="38"/>
  <c r="T193" i="38"/>
  <c r="S193" i="38"/>
  <c r="Q193" i="38"/>
  <c r="O193" i="38"/>
  <c r="M193" i="38"/>
  <c r="K193" i="38"/>
  <c r="X192" i="38"/>
  <c r="W192" i="38"/>
  <c r="V192" i="38"/>
  <c r="U192" i="38"/>
  <c r="T192" i="38"/>
  <c r="S192" i="38"/>
  <c r="Q192" i="38"/>
  <c r="O192" i="38"/>
  <c r="M192" i="38"/>
  <c r="K192" i="38"/>
  <c r="X191" i="38"/>
  <c r="W191" i="38"/>
  <c r="V191" i="38"/>
  <c r="U191" i="38"/>
  <c r="T191" i="38"/>
  <c r="S191" i="38"/>
  <c r="Q191" i="38"/>
  <c r="O191" i="38"/>
  <c r="M191" i="38"/>
  <c r="K191" i="38"/>
  <c r="X190" i="38"/>
  <c r="W190" i="38"/>
  <c r="V190" i="38"/>
  <c r="U190" i="38"/>
  <c r="T190" i="38"/>
  <c r="S190" i="38"/>
  <c r="Q190" i="38"/>
  <c r="O190" i="38"/>
  <c r="M190" i="38"/>
  <c r="K190" i="38"/>
  <c r="X189" i="38"/>
  <c r="W189" i="38"/>
  <c r="V189" i="38"/>
  <c r="U189" i="38"/>
  <c r="T189" i="38"/>
  <c r="S189" i="38"/>
  <c r="Q189" i="38"/>
  <c r="O189" i="38"/>
  <c r="M189" i="38"/>
  <c r="K189" i="38"/>
  <c r="X188" i="38"/>
  <c r="W188" i="38"/>
  <c r="V188" i="38"/>
  <c r="U188" i="38"/>
  <c r="T188" i="38"/>
  <c r="S188" i="38"/>
  <c r="Q188" i="38"/>
  <c r="O188" i="38"/>
  <c r="M188" i="38"/>
  <c r="K188" i="38"/>
  <c r="X187" i="38"/>
  <c r="W187" i="38"/>
  <c r="V187" i="38"/>
  <c r="U187" i="38"/>
  <c r="T187" i="38"/>
  <c r="S187" i="38"/>
  <c r="Q187" i="38"/>
  <c r="O187" i="38"/>
  <c r="M187" i="38"/>
  <c r="K187" i="38"/>
  <c r="X186" i="38"/>
  <c r="W186" i="38"/>
  <c r="V186" i="38"/>
  <c r="U186" i="38"/>
  <c r="T186" i="38"/>
  <c r="S186" i="38"/>
  <c r="Q186" i="38"/>
  <c r="O186" i="38"/>
  <c r="M186" i="38"/>
  <c r="K186" i="38"/>
  <c r="X185" i="38"/>
  <c r="W185" i="38"/>
  <c r="V185" i="38"/>
  <c r="U185" i="38"/>
  <c r="T185" i="38"/>
  <c r="S185" i="38"/>
  <c r="Q185" i="38"/>
  <c r="O185" i="38"/>
  <c r="M185" i="38"/>
  <c r="K185" i="38"/>
  <c r="X184" i="38"/>
  <c r="W184" i="38"/>
  <c r="V184" i="38"/>
  <c r="U184" i="38"/>
  <c r="T184" i="38"/>
  <c r="S184" i="38"/>
  <c r="Q184" i="38"/>
  <c r="O184" i="38"/>
  <c r="M184" i="38"/>
  <c r="K184" i="38"/>
  <c r="X183" i="38"/>
  <c r="W183" i="38"/>
  <c r="V183" i="38"/>
  <c r="U183" i="38"/>
  <c r="T183" i="38"/>
  <c r="S183" i="38"/>
  <c r="Q183" i="38"/>
  <c r="O183" i="38"/>
  <c r="M183" i="38"/>
  <c r="K183" i="38"/>
  <c r="X182" i="38"/>
  <c r="W182" i="38"/>
  <c r="V182" i="38"/>
  <c r="U182" i="38"/>
  <c r="T182" i="38"/>
  <c r="S182" i="38"/>
  <c r="Q182" i="38"/>
  <c r="O182" i="38"/>
  <c r="M182" i="38"/>
  <c r="K182" i="38"/>
  <c r="X181" i="38"/>
  <c r="W181" i="38"/>
  <c r="V181" i="38"/>
  <c r="U181" i="38"/>
  <c r="T181" i="38"/>
  <c r="S181" i="38"/>
  <c r="Q181" i="38"/>
  <c r="O181" i="38"/>
  <c r="M181" i="38"/>
  <c r="K181" i="38"/>
  <c r="X180" i="38"/>
  <c r="W180" i="38"/>
  <c r="V180" i="38"/>
  <c r="U180" i="38"/>
  <c r="T180" i="38"/>
  <c r="S180" i="38"/>
  <c r="Q180" i="38"/>
  <c r="O180" i="38"/>
  <c r="M180" i="38"/>
  <c r="K180" i="38"/>
  <c r="X179" i="38"/>
  <c r="W179" i="38"/>
  <c r="V179" i="38"/>
  <c r="U179" i="38"/>
  <c r="T179" i="38"/>
  <c r="S179" i="38"/>
  <c r="Q179" i="38"/>
  <c r="O179" i="38"/>
  <c r="M179" i="38"/>
  <c r="K179" i="38"/>
  <c r="X178" i="38"/>
  <c r="W178" i="38"/>
  <c r="V178" i="38"/>
  <c r="U178" i="38"/>
  <c r="T178" i="38"/>
  <c r="S178" i="38"/>
  <c r="Q178" i="38"/>
  <c r="O178" i="38"/>
  <c r="M178" i="38"/>
  <c r="K178" i="38"/>
  <c r="X177" i="38"/>
  <c r="W177" i="38"/>
  <c r="V177" i="38"/>
  <c r="U177" i="38"/>
  <c r="T177" i="38"/>
  <c r="S177" i="38"/>
  <c r="Q177" i="38"/>
  <c r="O177" i="38"/>
  <c r="M177" i="38"/>
  <c r="K177" i="38"/>
  <c r="X176" i="38"/>
  <c r="W176" i="38"/>
  <c r="V176" i="38"/>
  <c r="U176" i="38"/>
  <c r="T176" i="38"/>
  <c r="S176" i="38"/>
  <c r="Q176" i="38"/>
  <c r="O176" i="38"/>
  <c r="M176" i="38"/>
  <c r="K176" i="38"/>
  <c r="X175" i="38"/>
  <c r="W175" i="38"/>
  <c r="V175" i="38"/>
  <c r="U175" i="38"/>
  <c r="T175" i="38"/>
  <c r="S175" i="38"/>
  <c r="Q175" i="38"/>
  <c r="O175" i="38"/>
  <c r="M175" i="38"/>
  <c r="K175" i="38"/>
  <c r="X174" i="38"/>
  <c r="W174" i="38"/>
  <c r="V174" i="38"/>
  <c r="U174" i="38"/>
  <c r="T174" i="38"/>
  <c r="S174" i="38"/>
  <c r="Q174" i="38"/>
  <c r="O174" i="38"/>
  <c r="M174" i="38"/>
  <c r="K174" i="38"/>
  <c r="X173" i="38"/>
  <c r="W173" i="38"/>
  <c r="V173" i="38"/>
  <c r="U173" i="38"/>
  <c r="T173" i="38"/>
  <c r="S173" i="38"/>
  <c r="Q173" i="38"/>
  <c r="O173" i="38"/>
  <c r="M173" i="38"/>
  <c r="K173" i="38"/>
  <c r="X172" i="38"/>
  <c r="W172" i="38"/>
  <c r="V172" i="38"/>
  <c r="U172" i="38"/>
  <c r="T172" i="38"/>
  <c r="S172" i="38"/>
  <c r="Q172" i="38"/>
  <c r="O172" i="38"/>
  <c r="M172" i="38"/>
  <c r="K172" i="38"/>
  <c r="X171" i="38"/>
  <c r="W171" i="38"/>
  <c r="V171" i="38"/>
  <c r="U171" i="38"/>
  <c r="T171" i="38"/>
  <c r="S171" i="38"/>
  <c r="Q171" i="38"/>
  <c r="O171" i="38"/>
  <c r="M171" i="38"/>
  <c r="K171" i="38"/>
  <c r="X170" i="38"/>
  <c r="W170" i="38"/>
  <c r="V170" i="38"/>
  <c r="U170" i="38"/>
  <c r="T170" i="38"/>
  <c r="S170" i="38"/>
  <c r="Q170" i="38"/>
  <c r="O170" i="38"/>
  <c r="M170" i="38"/>
  <c r="K170" i="38"/>
  <c r="X169" i="38"/>
  <c r="W169" i="38"/>
  <c r="V169" i="38"/>
  <c r="U169" i="38"/>
  <c r="T169" i="38"/>
  <c r="S169" i="38"/>
  <c r="Q169" i="38"/>
  <c r="O169" i="38"/>
  <c r="M169" i="38"/>
  <c r="K169" i="38"/>
  <c r="X168" i="38"/>
  <c r="W168" i="38"/>
  <c r="V168" i="38"/>
  <c r="U168" i="38"/>
  <c r="T168" i="38"/>
  <c r="S168" i="38"/>
  <c r="Q168" i="38"/>
  <c r="O168" i="38"/>
  <c r="M168" i="38"/>
  <c r="K168" i="38"/>
  <c r="X167" i="38"/>
  <c r="W167" i="38"/>
  <c r="V167" i="38"/>
  <c r="U167" i="38"/>
  <c r="T167" i="38"/>
  <c r="S167" i="38"/>
  <c r="Q167" i="38"/>
  <c r="O167" i="38"/>
  <c r="M167" i="38"/>
  <c r="K167" i="38"/>
  <c r="X166" i="38"/>
  <c r="W166" i="38"/>
  <c r="V166" i="38"/>
  <c r="U166" i="38"/>
  <c r="T166" i="38"/>
  <c r="S166" i="38"/>
  <c r="Q166" i="38"/>
  <c r="O166" i="38"/>
  <c r="M166" i="38"/>
  <c r="K166" i="38"/>
  <c r="X165" i="38"/>
  <c r="W165" i="38"/>
  <c r="V165" i="38"/>
  <c r="U165" i="38"/>
  <c r="T165" i="38"/>
  <c r="S165" i="38"/>
  <c r="Q165" i="38"/>
  <c r="O165" i="38"/>
  <c r="M165" i="38"/>
  <c r="K165" i="38"/>
  <c r="X164" i="38"/>
  <c r="W164" i="38"/>
  <c r="V164" i="38"/>
  <c r="U164" i="38"/>
  <c r="T164" i="38"/>
  <c r="S164" i="38"/>
  <c r="Q164" i="38"/>
  <c r="O164" i="38"/>
  <c r="M164" i="38"/>
  <c r="K164" i="38"/>
  <c r="X163" i="38"/>
  <c r="W163" i="38"/>
  <c r="V163" i="38"/>
  <c r="U163" i="38"/>
  <c r="T163" i="38"/>
  <c r="S163" i="38"/>
  <c r="Q163" i="38"/>
  <c r="O163" i="38"/>
  <c r="M163" i="38"/>
  <c r="K163" i="38"/>
  <c r="X162" i="38"/>
  <c r="W162" i="38"/>
  <c r="V162" i="38"/>
  <c r="U162" i="38"/>
  <c r="T162" i="38"/>
  <c r="S162" i="38"/>
  <c r="Q162" i="38"/>
  <c r="O162" i="38"/>
  <c r="M162" i="38"/>
  <c r="K162" i="38"/>
  <c r="X161" i="38"/>
  <c r="W161" i="38"/>
  <c r="V161" i="38"/>
  <c r="U161" i="38"/>
  <c r="T161" i="38"/>
  <c r="S161" i="38"/>
  <c r="Q161" i="38"/>
  <c r="O161" i="38"/>
  <c r="M161" i="38"/>
  <c r="K161" i="38"/>
  <c r="X160" i="38"/>
  <c r="W160" i="38"/>
  <c r="V160" i="38"/>
  <c r="U160" i="38"/>
  <c r="T160" i="38"/>
  <c r="S160" i="38"/>
  <c r="Q160" i="38"/>
  <c r="O160" i="38"/>
  <c r="M160" i="38"/>
  <c r="K160" i="38"/>
  <c r="X159" i="38"/>
  <c r="W159" i="38"/>
  <c r="V159" i="38"/>
  <c r="U159" i="38"/>
  <c r="T159" i="38"/>
  <c r="S159" i="38"/>
  <c r="Q159" i="38"/>
  <c r="O159" i="38"/>
  <c r="M159" i="38"/>
  <c r="K159" i="38"/>
  <c r="X158" i="38"/>
  <c r="W158" i="38"/>
  <c r="V158" i="38"/>
  <c r="U158" i="38"/>
  <c r="T158" i="38"/>
  <c r="S158" i="38"/>
  <c r="Q158" i="38"/>
  <c r="O158" i="38"/>
  <c r="M158" i="38"/>
  <c r="K158" i="38"/>
  <c r="X157" i="38"/>
  <c r="W157" i="38"/>
  <c r="V157" i="38"/>
  <c r="U157" i="38"/>
  <c r="T157" i="38"/>
  <c r="S157" i="38"/>
  <c r="Q157" i="38"/>
  <c r="O157" i="38"/>
  <c r="M157" i="38"/>
  <c r="K157" i="38"/>
  <c r="X156" i="38"/>
  <c r="W156" i="38"/>
  <c r="V156" i="38"/>
  <c r="U156" i="38"/>
  <c r="T156" i="38"/>
  <c r="S156" i="38"/>
  <c r="Q156" i="38"/>
  <c r="O156" i="38"/>
  <c r="M156" i="38"/>
  <c r="K156" i="38"/>
  <c r="X155" i="38"/>
  <c r="W155" i="38"/>
  <c r="V155" i="38"/>
  <c r="U155" i="38"/>
  <c r="T155" i="38"/>
  <c r="S155" i="38"/>
  <c r="Q155" i="38"/>
  <c r="O155" i="38"/>
  <c r="M155" i="38"/>
  <c r="K155" i="38"/>
  <c r="X154" i="38"/>
  <c r="W154" i="38"/>
  <c r="V154" i="38"/>
  <c r="U154" i="38"/>
  <c r="T154" i="38"/>
  <c r="S154" i="38"/>
  <c r="Q154" i="38"/>
  <c r="O154" i="38"/>
  <c r="M154" i="38"/>
  <c r="K154" i="38"/>
  <c r="X153" i="38"/>
  <c r="W153" i="38"/>
  <c r="V153" i="38"/>
  <c r="U153" i="38"/>
  <c r="T153" i="38"/>
  <c r="S153" i="38"/>
  <c r="Q153" i="38"/>
  <c r="O153" i="38"/>
  <c r="M153" i="38"/>
  <c r="K153" i="38"/>
  <c r="X152" i="38"/>
  <c r="W152" i="38"/>
  <c r="V152" i="38"/>
  <c r="U152" i="38"/>
  <c r="T152" i="38"/>
  <c r="S152" i="38"/>
  <c r="Q152" i="38"/>
  <c r="O152" i="38"/>
  <c r="M152" i="38"/>
  <c r="K152" i="38"/>
  <c r="X151" i="38"/>
  <c r="W151" i="38"/>
  <c r="V151" i="38"/>
  <c r="U151" i="38"/>
  <c r="T151" i="38"/>
  <c r="S151" i="38"/>
  <c r="Q151" i="38"/>
  <c r="O151" i="38"/>
  <c r="M151" i="38"/>
  <c r="K151" i="38"/>
  <c r="X150" i="38"/>
  <c r="W150" i="38"/>
  <c r="V150" i="38"/>
  <c r="U150" i="38"/>
  <c r="T150" i="38"/>
  <c r="S150" i="38"/>
  <c r="Q150" i="38"/>
  <c r="O150" i="38"/>
  <c r="M150" i="38"/>
  <c r="K150" i="38"/>
  <c r="X149" i="38"/>
  <c r="W149" i="38"/>
  <c r="V149" i="38"/>
  <c r="U149" i="38"/>
  <c r="T149" i="38"/>
  <c r="S149" i="38"/>
  <c r="Q149" i="38"/>
  <c r="O149" i="38"/>
  <c r="M149" i="38"/>
  <c r="K149" i="38"/>
  <c r="X148" i="38"/>
  <c r="W148" i="38"/>
  <c r="V148" i="38"/>
  <c r="U148" i="38"/>
  <c r="T148" i="38"/>
  <c r="S148" i="38"/>
  <c r="Q148" i="38"/>
  <c r="O148" i="38"/>
  <c r="M148" i="38"/>
  <c r="K148" i="38"/>
  <c r="X147" i="38"/>
  <c r="W147" i="38"/>
  <c r="V147" i="38"/>
  <c r="U147" i="38"/>
  <c r="T147" i="38"/>
  <c r="S147" i="38"/>
  <c r="Q147" i="38"/>
  <c r="O147" i="38"/>
  <c r="M147" i="38"/>
  <c r="K147" i="38"/>
  <c r="X146" i="38"/>
  <c r="W146" i="38"/>
  <c r="V146" i="38"/>
  <c r="U146" i="38"/>
  <c r="T146" i="38"/>
  <c r="S146" i="38"/>
  <c r="Q146" i="38"/>
  <c r="O146" i="38"/>
  <c r="M146" i="38"/>
  <c r="K146" i="38"/>
  <c r="X145" i="38"/>
  <c r="W145" i="38"/>
  <c r="V145" i="38"/>
  <c r="U145" i="38"/>
  <c r="T145" i="38"/>
  <c r="S145" i="38"/>
  <c r="Q145" i="38"/>
  <c r="O145" i="38"/>
  <c r="M145" i="38"/>
  <c r="K145" i="38"/>
  <c r="X144" i="38"/>
  <c r="W144" i="38"/>
  <c r="V144" i="38"/>
  <c r="U144" i="38"/>
  <c r="T144" i="38"/>
  <c r="S144" i="38"/>
  <c r="Q144" i="38"/>
  <c r="O144" i="38"/>
  <c r="M144" i="38"/>
  <c r="K144" i="38"/>
  <c r="X143" i="38"/>
  <c r="W143" i="38"/>
  <c r="V143" i="38"/>
  <c r="U143" i="38"/>
  <c r="T143" i="38"/>
  <c r="S143" i="38"/>
  <c r="Q143" i="38"/>
  <c r="O143" i="38"/>
  <c r="M143" i="38"/>
  <c r="K143" i="38"/>
  <c r="X142" i="38"/>
  <c r="W142" i="38"/>
  <c r="V142" i="38"/>
  <c r="U142" i="38"/>
  <c r="T142" i="38"/>
  <c r="S142" i="38"/>
  <c r="Q142" i="38"/>
  <c r="O142" i="38"/>
  <c r="M142" i="38"/>
  <c r="K142" i="38"/>
  <c r="X141" i="38"/>
  <c r="W141" i="38"/>
  <c r="V141" i="38"/>
  <c r="U141" i="38"/>
  <c r="T141" i="38"/>
  <c r="S141" i="38"/>
  <c r="Q141" i="38"/>
  <c r="O141" i="38"/>
  <c r="M141" i="38"/>
  <c r="K141" i="38"/>
  <c r="X140" i="38"/>
  <c r="W140" i="38"/>
  <c r="V140" i="38"/>
  <c r="U140" i="38"/>
  <c r="T140" i="38"/>
  <c r="S140" i="38"/>
  <c r="Q140" i="38"/>
  <c r="O140" i="38"/>
  <c r="M140" i="38"/>
  <c r="K140" i="38"/>
  <c r="X139" i="38"/>
  <c r="W139" i="38"/>
  <c r="V139" i="38"/>
  <c r="U139" i="38"/>
  <c r="T139" i="38"/>
  <c r="S139" i="38"/>
  <c r="Q139" i="38"/>
  <c r="O139" i="38"/>
  <c r="M139" i="38"/>
  <c r="K139" i="38"/>
  <c r="X138" i="38"/>
  <c r="W138" i="38"/>
  <c r="V138" i="38"/>
  <c r="U138" i="38"/>
  <c r="T138" i="38"/>
  <c r="S138" i="38"/>
  <c r="Q138" i="38"/>
  <c r="O138" i="38"/>
  <c r="M138" i="38"/>
  <c r="K138" i="38"/>
  <c r="X137" i="38"/>
  <c r="W137" i="38"/>
  <c r="V137" i="38"/>
  <c r="U137" i="38"/>
  <c r="T137" i="38"/>
  <c r="S137" i="38"/>
  <c r="Q137" i="38"/>
  <c r="O137" i="38"/>
  <c r="M137" i="38"/>
  <c r="K137" i="38"/>
  <c r="X136" i="38"/>
  <c r="W136" i="38"/>
  <c r="V136" i="38"/>
  <c r="U136" i="38"/>
  <c r="T136" i="38"/>
  <c r="S136" i="38"/>
  <c r="Q136" i="38"/>
  <c r="O136" i="38"/>
  <c r="M136" i="38"/>
  <c r="K136" i="38"/>
  <c r="X135" i="38"/>
  <c r="W135" i="38"/>
  <c r="V135" i="38"/>
  <c r="U135" i="38"/>
  <c r="T135" i="38"/>
  <c r="S135" i="38"/>
  <c r="Q135" i="38"/>
  <c r="O135" i="38"/>
  <c r="M135" i="38"/>
  <c r="K135" i="38"/>
  <c r="X134" i="38"/>
  <c r="W134" i="38"/>
  <c r="V134" i="38"/>
  <c r="U134" i="38"/>
  <c r="T134" i="38"/>
  <c r="S134" i="38"/>
  <c r="Q134" i="38"/>
  <c r="O134" i="38"/>
  <c r="M134" i="38"/>
  <c r="K134" i="38"/>
  <c r="X133" i="38"/>
  <c r="W133" i="38"/>
  <c r="V133" i="38"/>
  <c r="U133" i="38"/>
  <c r="T133" i="38"/>
  <c r="S133" i="38"/>
  <c r="Q133" i="38"/>
  <c r="O133" i="38"/>
  <c r="M133" i="38"/>
  <c r="K133" i="38"/>
  <c r="X132" i="38"/>
  <c r="W132" i="38"/>
  <c r="V132" i="38"/>
  <c r="U132" i="38"/>
  <c r="T132" i="38"/>
  <c r="S132" i="38"/>
  <c r="Q132" i="38"/>
  <c r="O132" i="38"/>
  <c r="M132" i="38"/>
  <c r="K132" i="38"/>
  <c r="X131" i="38"/>
  <c r="W131" i="38"/>
  <c r="V131" i="38"/>
  <c r="U131" i="38"/>
  <c r="T131" i="38"/>
  <c r="S131" i="38"/>
  <c r="Q131" i="38"/>
  <c r="O131" i="38"/>
  <c r="M131" i="38"/>
  <c r="K131" i="38"/>
  <c r="X130" i="38"/>
  <c r="W130" i="38"/>
  <c r="V130" i="38"/>
  <c r="U130" i="38"/>
  <c r="T130" i="38"/>
  <c r="S130" i="38"/>
  <c r="Q130" i="38"/>
  <c r="O130" i="38"/>
  <c r="M130" i="38"/>
  <c r="K130" i="38"/>
  <c r="X129" i="38"/>
  <c r="W129" i="38"/>
  <c r="V129" i="38"/>
  <c r="U129" i="38"/>
  <c r="T129" i="38"/>
  <c r="S129" i="38"/>
  <c r="Q129" i="38"/>
  <c r="O129" i="38"/>
  <c r="M129" i="38"/>
  <c r="K129" i="38"/>
  <c r="X128" i="38"/>
  <c r="W128" i="38"/>
  <c r="V128" i="38"/>
  <c r="U128" i="38"/>
  <c r="T128" i="38"/>
  <c r="S128" i="38"/>
  <c r="Q128" i="38"/>
  <c r="O128" i="38"/>
  <c r="M128" i="38"/>
  <c r="K128" i="38"/>
  <c r="X127" i="38"/>
  <c r="W127" i="38"/>
  <c r="V127" i="38"/>
  <c r="U127" i="38"/>
  <c r="T127" i="38"/>
  <c r="S127" i="38"/>
  <c r="Q127" i="38"/>
  <c r="O127" i="38"/>
  <c r="M127" i="38"/>
  <c r="K127" i="38"/>
  <c r="X126" i="38"/>
  <c r="W126" i="38"/>
  <c r="V126" i="38"/>
  <c r="U126" i="38"/>
  <c r="T126" i="38"/>
  <c r="S126" i="38"/>
  <c r="Q126" i="38"/>
  <c r="O126" i="38"/>
  <c r="M126" i="38"/>
  <c r="K126" i="38"/>
  <c r="X125" i="38"/>
  <c r="W125" i="38"/>
  <c r="V125" i="38"/>
  <c r="U125" i="38"/>
  <c r="T125" i="38"/>
  <c r="S125" i="38"/>
  <c r="Q125" i="38"/>
  <c r="O125" i="38"/>
  <c r="M125" i="38"/>
  <c r="K125" i="38"/>
  <c r="X124" i="38"/>
  <c r="W124" i="38"/>
  <c r="V124" i="38"/>
  <c r="U124" i="38"/>
  <c r="T124" i="38"/>
  <c r="S124" i="38"/>
  <c r="Q124" i="38"/>
  <c r="O124" i="38"/>
  <c r="M124" i="38"/>
  <c r="K124" i="38"/>
  <c r="X123" i="38"/>
  <c r="W123" i="38"/>
  <c r="V123" i="38"/>
  <c r="U123" i="38"/>
  <c r="T123" i="38"/>
  <c r="S123" i="38"/>
  <c r="Q123" i="38"/>
  <c r="O123" i="38"/>
  <c r="M123" i="38"/>
  <c r="K123" i="38"/>
  <c r="X122" i="38"/>
  <c r="W122" i="38"/>
  <c r="V122" i="38"/>
  <c r="U122" i="38"/>
  <c r="T122" i="38"/>
  <c r="S122" i="38"/>
  <c r="Q122" i="38"/>
  <c r="O122" i="38"/>
  <c r="M122" i="38"/>
  <c r="K122" i="38"/>
  <c r="X121" i="38"/>
  <c r="W121" i="38"/>
  <c r="V121" i="38"/>
  <c r="U121" i="38"/>
  <c r="T121" i="38"/>
  <c r="S121" i="38"/>
  <c r="Q121" i="38"/>
  <c r="O121" i="38"/>
  <c r="M121" i="38"/>
  <c r="K121" i="38"/>
  <c r="X120" i="38"/>
  <c r="W120" i="38"/>
  <c r="V120" i="38"/>
  <c r="U120" i="38"/>
  <c r="T120" i="38"/>
  <c r="S120" i="38"/>
  <c r="Q120" i="38"/>
  <c r="O120" i="38"/>
  <c r="M120" i="38"/>
  <c r="K120" i="38"/>
  <c r="X119" i="38"/>
  <c r="W119" i="38"/>
  <c r="V119" i="38"/>
  <c r="U119" i="38"/>
  <c r="T119" i="38"/>
  <c r="S119" i="38"/>
  <c r="Q119" i="38"/>
  <c r="O119" i="38"/>
  <c r="M119" i="38"/>
  <c r="K119" i="38"/>
  <c r="X118" i="38"/>
  <c r="W118" i="38"/>
  <c r="V118" i="38"/>
  <c r="U118" i="38"/>
  <c r="T118" i="38"/>
  <c r="S118" i="38"/>
  <c r="Q118" i="38"/>
  <c r="O118" i="38"/>
  <c r="M118" i="38"/>
  <c r="K118" i="38"/>
  <c r="X117" i="38"/>
  <c r="W117" i="38"/>
  <c r="V117" i="38"/>
  <c r="U117" i="38"/>
  <c r="T117" i="38"/>
  <c r="S117" i="38"/>
  <c r="Q117" i="38"/>
  <c r="O117" i="38"/>
  <c r="M117" i="38"/>
  <c r="K117" i="38"/>
  <c r="X116" i="38"/>
  <c r="W116" i="38"/>
  <c r="V116" i="38"/>
  <c r="U116" i="38"/>
  <c r="T116" i="38"/>
  <c r="S116" i="38"/>
  <c r="Q116" i="38"/>
  <c r="O116" i="38"/>
  <c r="M116" i="38"/>
  <c r="K116" i="38"/>
  <c r="X115" i="38"/>
  <c r="W115" i="38"/>
  <c r="V115" i="38"/>
  <c r="U115" i="38"/>
  <c r="T115" i="38"/>
  <c r="S115" i="38"/>
  <c r="Q115" i="38"/>
  <c r="O115" i="38"/>
  <c r="M115" i="38"/>
  <c r="K115" i="38"/>
  <c r="X114" i="38"/>
  <c r="W114" i="38"/>
  <c r="V114" i="38"/>
  <c r="U114" i="38"/>
  <c r="T114" i="38"/>
  <c r="S114" i="38"/>
  <c r="Q114" i="38"/>
  <c r="O114" i="38"/>
  <c r="M114" i="38"/>
  <c r="K114" i="38"/>
  <c r="X113" i="38"/>
  <c r="W113" i="38"/>
  <c r="V113" i="38"/>
  <c r="U113" i="38"/>
  <c r="T113" i="38"/>
  <c r="S113" i="38"/>
  <c r="Q113" i="38"/>
  <c r="O113" i="38"/>
  <c r="M113" i="38"/>
  <c r="K113" i="38"/>
  <c r="X112" i="38"/>
  <c r="W112" i="38"/>
  <c r="V112" i="38"/>
  <c r="U112" i="38"/>
  <c r="T112" i="38"/>
  <c r="S112" i="38"/>
  <c r="Q112" i="38"/>
  <c r="O112" i="38"/>
  <c r="M112" i="38"/>
  <c r="K112" i="38"/>
  <c r="X111" i="38"/>
  <c r="W111" i="38"/>
  <c r="V111" i="38"/>
  <c r="U111" i="38"/>
  <c r="T111" i="38"/>
  <c r="S111" i="38"/>
  <c r="Q111" i="38"/>
  <c r="O111" i="38"/>
  <c r="M111" i="38"/>
  <c r="K111" i="38"/>
  <c r="X110" i="38"/>
  <c r="W110" i="38"/>
  <c r="V110" i="38"/>
  <c r="U110" i="38"/>
  <c r="T110" i="38"/>
  <c r="S110" i="38"/>
  <c r="Q110" i="38"/>
  <c r="O110" i="38"/>
  <c r="M110" i="38"/>
  <c r="K110" i="38"/>
  <c r="X109" i="38"/>
  <c r="W109" i="38"/>
  <c r="V109" i="38"/>
  <c r="U109" i="38"/>
  <c r="T109" i="38"/>
  <c r="S109" i="38"/>
  <c r="Q109" i="38"/>
  <c r="O109" i="38"/>
  <c r="M109" i="38"/>
  <c r="K109" i="38"/>
  <c r="X108" i="38"/>
  <c r="W108" i="38"/>
  <c r="V108" i="38"/>
  <c r="U108" i="38"/>
  <c r="T108" i="38"/>
  <c r="S108" i="38"/>
  <c r="Q108" i="38"/>
  <c r="O108" i="38"/>
  <c r="M108" i="38"/>
  <c r="K108" i="38"/>
  <c r="X107" i="38"/>
  <c r="W107" i="38"/>
  <c r="V107" i="38"/>
  <c r="U107" i="38"/>
  <c r="T107" i="38"/>
  <c r="S107" i="38"/>
  <c r="Q107" i="38"/>
  <c r="O107" i="38"/>
  <c r="M107" i="38"/>
  <c r="K107" i="38"/>
  <c r="X106" i="38"/>
  <c r="W106" i="38"/>
  <c r="V106" i="38"/>
  <c r="U106" i="38"/>
  <c r="T106" i="38"/>
  <c r="S106" i="38"/>
  <c r="Q106" i="38"/>
  <c r="O106" i="38"/>
  <c r="M106" i="38"/>
  <c r="K106" i="38"/>
  <c r="X105" i="38"/>
  <c r="W105" i="38"/>
  <c r="V105" i="38"/>
  <c r="U105" i="38"/>
  <c r="T105" i="38"/>
  <c r="S105" i="38"/>
  <c r="Q105" i="38"/>
  <c r="O105" i="38"/>
  <c r="M105" i="38"/>
  <c r="K105" i="38"/>
  <c r="X104" i="38"/>
  <c r="W104" i="38"/>
  <c r="V104" i="38"/>
  <c r="U104" i="38"/>
  <c r="T104" i="38"/>
  <c r="S104" i="38"/>
  <c r="Q104" i="38"/>
  <c r="O104" i="38"/>
  <c r="M104" i="38"/>
  <c r="K104" i="38"/>
  <c r="X103" i="38"/>
  <c r="W103" i="38"/>
  <c r="V103" i="38"/>
  <c r="U103" i="38"/>
  <c r="T103" i="38"/>
  <c r="S103" i="38"/>
  <c r="Q103" i="38"/>
  <c r="O103" i="38"/>
  <c r="M103" i="38"/>
  <c r="K103" i="38"/>
  <c r="X102" i="38"/>
  <c r="W102" i="38"/>
  <c r="V102" i="38"/>
  <c r="U102" i="38"/>
  <c r="T102" i="38"/>
  <c r="S102" i="38"/>
  <c r="Q102" i="38"/>
  <c r="O102" i="38"/>
  <c r="M102" i="38"/>
  <c r="K102" i="38"/>
  <c r="X101" i="38"/>
  <c r="W101" i="38"/>
  <c r="V101" i="38"/>
  <c r="U101" i="38"/>
  <c r="T101" i="38"/>
  <c r="S101" i="38"/>
  <c r="Q101" i="38"/>
  <c r="O101" i="38"/>
  <c r="M101" i="38"/>
  <c r="K101" i="38"/>
  <c r="X100" i="38"/>
  <c r="W100" i="38"/>
  <c r="V100" i="38"/>
  <c r="U100" i="38"/>
  <c r="T100" i="38"/>
  <c r="S100" i="38"/>
  <c r="Q100" i="38"/>
  <c r="O100" i="38"/>
  <c r="M100" i="38"/>
  <c r="K100" i="38"/>
  <c r="X99" i="38"/>
  <c r="W99" i="38"/>
  <c r="V99" i="38"/>
  <c r="U99" i="38"/>
  <c r="T99" i="38"/>
  <c r="S99" i="38"/>
  <c r="Q99" i="38"/>
  <c r="O99" i="38"/>
  <c r="M99" i="38"/>
  <c r="K99" i="38"/>
  <c r="X98" i="38"/>
  <c r="W98" i="38"/>
  <c r="V98" i="38"/>
  <c r="U98" i="38"/>
  <c r="T98" i="38"/>
  <c r="S98" i="38"/>
  <c r="Q98" i="38"/>
  <c r="O98" i="38"/>
  <c r="M98" i="38"/>
  <c r="K98" i="38"/>
  <c r="X97" i="38"/>
  <c r="W97" i="38"/>
  <c r="V97" i="38"/>
  <c r="U97" i="38"/>
  <c r="T97" i="38"/>
  <c r="S97" i="38"/>
  <c r="Q97" i="38"/>
  <c r="O97" i="38"/>
  <c r="M97" i="38"/>
  <c r="K97" i="38"/>
  <c r="X96" i="38"/>
  <c r="W96" i="38"/>
  <c r="V96" i="38"/>
  <c r="U96" i="38"/>
  <c r="T96" i="38"/>
  <c r="S96" i="38"/>
  <c r="Q96" i="38"/>
  <c r="O96" i="38"/>
  <c r="M96" i="38"/>
  <c r="K96" i="38"/>
  <c r="X95" i="38"/>
  <c r="W95" i="38"/>
  <c r="V95" i="38"/>
  <c r="U95" i="38"/>
  <c r="T95" i="38"/>
  <c r="S95" i="38"/>
  <c r="Q95" i="38"/>
  <c r="O95" i="38"/>
  <c r="M95" i="38"/>
  <c r="K95" i="38"/>
  <c r="X94" i="38"/>
  <c r="W94" i="38"/>
  <c r="V94" i="38"/>
  <c r="U94" i="38"/>
  <c r="T94" i="38"/>
  <c r="S94" i="38"/>
  <c r="Q94" i="38"/>
  <c r="O94" i="38"/>
  <c r="M94" i="38"/>
  <c r="K94" i="38"/>
  <c r="X93" i="38"/>
  <c r="W93" i="38"/>
  <c r="V93" i="38"/>
  <c r="U93" i="38"/>
  <c r="T93" i="38"/>
  <c r="S93" i="38"/>
  <c r="Q93" i="38"/>
  <c r="O93" i="38"/>
  <c r="M93" i="38"/>
  <c r="K93" i="38"/>
  <c r="X92" i="38"/>
  <c r="W92" i="38"/>
  <c r="V92" i="38"/>
  <c r="U92" i="38"/>
  <c r="T92" i="38"/>
  <c r="S92" i="38"/>
  <c r="Q92" i="38"/>
  <c r="O92" i="38"/>
  <c r="M92" i="38"/>
  <c r="K92" i="38"/>
  <c r="X91" i="38"/>
  <c r="W91" i="38"/>
  <c r="V91" i="38"/>
  <c r="U91" i="38"/>
  <c r="T91" i="38"/>
  <c r="S91" i="38"/>
  <c r="Q91" i="38"/>
  <c r="O91" i="38"/>
  <c r="M91" i="38"/>
  <c r="K91" i="38"/>
  <c r="X90" i="38"/>
  <c r="W90" i="38"/>
  <c r="V90" i="38"/>
  <c r="U90" i="38"/>
  <c r="T90" i="38"/>
  <c r="S90" i="38"/>
  <c r="Q90" i="38"/>
  <c r="O90" i="38"/>
  <c r="M90" i="38"/>
  <c r="K90" i="38"/>
  <c r="X89" i="38"/>
  <c r="W89" i="38"/>
  <c r="V89" i="38"/>
  <c r="U89" i="38"/>
  <c r="T89" i="38"/>
  <c r="S89" i="38"/>
  <c r="Q89" i="38"/>
  <c r="O89" i="38"/>
  <c r="M89" i="38"/>
  <c r="K89" i="38"/>
  <c r="X88" i="38"/>
  <c r="W88" i="38"/>
  <c r="V88" i="38"/>
  <c r="U88" i="38"/>
  <c r="T88" i="38"/>
  <c r="S88" i="38"/>
  <c r="Q88" i="38"/>
  <c r="O88" i="38"/>
  <c r="M88" i="38"/>
  <c r="K88" i="38"/>
  <c r="X87" i="38"/>
  <c r="W87" i="38"/>
  <c r="V87" i="38"/>
  <c r="U87" i="38"/>
  <c r="T87" i="38"/>
  <c r="S87" i="38"/>
  <c r="Q87" i="38"/>
  <c r="O87" i="38"/>
  <c r="M87" i="38"/>
  <c r="K87" i="38"/>
  <c r="X86" i="38"/>
  <c r="W86" i="38"/>
  <c r="V86" i="38"/>
  <c r="U86" i="38"/>
  <c r="T86" i="38"/>
  <c r="S86" i="38"/>
  <c r="Q86" i="38"/>
  <c r="O86" i="38"/>
  <c r="M86" i="38"/>
  <c r="K86" i="38"/>
  <c r="X85" i="38"/>
  <c r="W85" i="38"/>
  <c r="V85" i="38"/>
  <c r="U85" i="38"/>
  <c r="T85" i="38"/>
  <c r="S85" i="38"/>
  <c r="Q85" i="38"/>
  <c r="O85" i="38"/>
  <c r="M85" i="38"/>
  <c r="K85" i="38"/>
  <c r="X84" i="38"/>
  <c r="W84" i="38"/>
  <c r="V84" i="38"/>
  <c r="U84" i="38"/>
  <c r="T84" i="38"/>
  <c r="S84" i="38"/>
  <c r="Q84" i="38"/>
  <c r="O84" i="38"/>
  <c r="M84" i="38"/>
  <c r="K84" i="38"/>
  <c r="X83" i="38"/>
  <c r="W83" i="38"/>
  <c r="V83" i="38"/>
  <c r="U83" i="38"/>
  <c r="T83" i="38"/>
  <c r="S83" i="38"/>
  <c r="Q83" i="38"/>
  <c r="O83" i="38"/>
  <c r="M83" i="38"/>
  <c r="K83" i="38"/>
  <c r="X82" i="38"/>
  <c r="W82" i="38"/>
  <c r="V82" i="38"/>
  <c r="U82" i="38"/>
  <c r="T82" i="38"/>
  <c r="S82" i="38"/>
  <c r="Q82" i="38"/>
  <c r="O82" i="38"/>
  <c r="M82" i="38"/>
  <c r="K82" i="38"/>
  <c r="X81" i="38"/>
  <c r="W81" i="38"/>
  <c r="V81" i="38"/>
  <c r="U81" i="38"/>
  <c r="T81" i="38"/>
  <c r="S81" i="38"/>
  <c r="Q81" i="38"/>
  <c r="O81" i="38"/>
  <c r="M81" i="38"/>
  <c r="K81" i="38"/>
  <c r="X80" i="38"/>
  <c r="W80" i="38"/>
  <c r="V80" i="38"/>
  <c r="U80" i="38"/>
  <c r="T80" i="38"/>
  <c r="S80" i="38"/>
  <c r="Q80" i="38"/>
  <c r="O80" i="38"/>
  <c r="M80" i="38"/>
  <c r="K80" i="38"/>
  <c r="X79" i="38"/>
  <c r="W79" i="38"/>
  <c r="V79" i="38"/>
  <c r="U79" i="38"/>
  <c r="T79" i="38"/>
  <c r="S79" i="38"/>
  <c r="Q79" i="38"/>
  <c r="O79" i="38"/>
  <c r="M79" i="38"/>
  <c r="K79" i="38"/>
  <c r="X78" i="38"/>
  <c r="W78" i="38"/>
  <c r="V78" i="38"/>
  <c r="U78" i="38"/>
  <c r="T78" i="38"/>
  <c r="S78" i="38"/>
  <c r="Q78" i="38"/>
  <c r="O78" i="38"/>
  <c r="M78" i="38"/>
  <c r="K78" i="38"/>
  <c r="X77" i="38"/>
  <c r="W77" i="38"/>
  <c r="V77" i="38"/>
  <c r="U77" i="38"/>
  <c r="T77" i="38"/>
  <c r="S77" i="38"/>
  <c r="Q77" i="38"/>
  <c r="O77" i="38"/>
  <c r="M77" i="38"/>
  <c r="K77" i="38"/>
  <c r="X76" i="38"/>
  <c r="W76" i="38"/>
  <c r="V76" i="38"/>
  <c r="U76" i="38"/>
  <c r="T76" i="38"/>
  <c r="S76" i="38"/>
  <c r="Q76" i="38"/>
  <c r="O76" i="38"/>
  <c r="M76" i="38"/>
  <c r="K76" i="38"/>
  <c r="X75" i="38"/>
  <c r="W75" i="38"/>
  <c r="V75" i="38"/>
  <c r="U75" i="38"/>
  <c r="T75" i="38"/>
  <c r="S75" i="38"/>
  <c r="Q75" i="38"/>
  <c r="O75" i="38"/>
  <c r="M75" i="38"/>
  <c r="K75" i="38"/>
  <c r="X74" i="38"/>
  <c r="W74" i="38"/>
  <c r="V74" i="38"/>
  <c r="U74" i="38"/>
  <c r="T74" i="38"/>
  <c r="S74" i="38"/>
  <c r="Q74" i="38"/>
  <c r="O74" i="38"/>
  <c r="M74" i="38"/>
  <c r="K74" i="38"/>
  <c r="X73" i="38"/>
  <c r="W73" i="38"/>
  <c r="V73" i="38"/>
  <c r="U73" i="38"/>
  <c r="T73" i="38"/>
  <c r="S73" i="38"/>
  <c r="Q73" i="38"/>
  <c r="O73" i="38"/>
  <c r="M73" i="38"/>
  <c r="K73" i="38"/>
  <c r="X72" i="38"/>
  <c r="W72" i="38"/>
  <c r="V72" i="38"/>
  <c r="U72" i="38"/>
  <c r="T72" i="38"/>
  <c r="S72" i="38"/>
  <c r="Q72" i="38"/>
  <c r="O72" i="38"/>
  <c r="M72" i="38"/>
  <c r="K72" i="38"/>
  <c r="X71" i="38"/>
  <c r="W71" i="38"/>
  <c r="V71" i="38"/>
  <c r="U71" i="38"/>
  <c r="T71" i="38"/>
  <c r="S71" i="38"/>
  <c r="Q71" i="38"/>
  <c r="O71" i="38"/>
  <c r="M71" i="38"/>
  <c r="K71" i="38"/>
  <c r="X70" i="38"/>
  <c r="W70" i="38"/>
  <c r="V70" i="38"/>
  <c r="U70" i="38"/>
  <c r="T70" i="38"/>
  <c r="S70" i="38"/>
  <c r="Q70" i="38"/>
  <c r="O70" i="38"/>
  <c r="M70" i="38"/>
  <c r="K70" i="38"/>
  <c r="X69" i="38"/>
  <c r="W69" i="38"/>
  <c r="V69" i="38"/>
  <c r="U69" i="38"/>
  <c r="T69" i="38"/>
  <c r="S69" i="38"/>
  <c r="Q69" i="38"/>
  <c r="O69" i="38"/>
  <c r="M69" i="38"/>
  <c r="K69" i="38"/>
  <c r="X68" i="38"/>
  <c r="W68" i="38"/>
  <c r="V68" i="38"/>
  <c r="U68" i="38"/>
  <c r="T68" i="38"/>
  <c r="S68" i="38"/>
  <c r="Q68" i="38"/>
  <c r="O68" i="38"/>
  <c r="M68" i="38"/>
  <c r="K68" i="38"/>
  <c r="X67" i="38"/>
  <c r="W67" i="38"/>
  <c r="V67" i="38"/>
  <c r="U67" i="38"/>
  <c r="T67" i="38"/>
  <c r="S67" i="38"/>
  <c r="Q67" i="38"/>
  <c r="O67" i="38"/>
  <c r="M67" i="38"/>
  <c r="K67" i="38"/>
  <c r="X66" i="38"/>
  <c r="W66" i="38"/>
  <c r="V66" i="38"/>
  <c r="U66" i="38"/>
  <c r="T66" i="38"/>
  <c r="S66" i="38"/>
  <c r="Q66" i="38"/>
  <c r="O66" i="38"/>
  <c r="M66" i="38"/>
  <c r="K66" i="38"/>
  <c r="X65" i="38"/>
  <c r="W65" i="38"/>
  <c r="V65" i="38"/>
  <c r="U65" i="38"/>
  <c r="T65" i="38"/>
  <c r="S65" i="38"/>
  <c r="Q65" i="38"/>
  <c r="O65" i="38"/>
  <c r="M65" i="38"/>
  <c r="K65" i="38"/>
  <c r="X64" i="38"/>
  <c r="W64" i="38"/>
  <c r="V64" i="38"/>
  <c r="U64" i="38"/>
  <c r="T64" i="38"/>
  <c r="S64" i="38"/>
  <c r="Q64" i="38"/>
  <c r="O64" i="38"/>
  <c r="M64" i="38"/>
  <c r="K64" i="38"/>
  <c r="X63" i="38"/>
  <c r="W63" i="38"/>
  <c r="V63" i="38"/>
  <c r="U63" i="38"/>
  <c r="T63" i="38"/>
  <c r="S63" i="38"/>
  <c r="Q63" i="38"/>
  <c r="O63" i="38"/>
  <c r="M63" i="38"/>
  <c r="K63" i="38"/>
  <c r="X62" i="38"/>
  <c r="W62" i="38"/>
  <c r="V62" i="38"/>
  <c r="U62" i="38"/>
  <c r="T62" i="38"/>
  <c r="S62" i="38"/>
  <c r="Q62" i="38"/>
  <c r="O62" i="38"/>
  <c r="M62" i="38"/>
  <c r="K62" i="38"/>
  <c r="X61" i="38"/>
  <c r="W61" i="38"/>
  <c r="V61" i="38"/>
  <c r="U61" i="38"/>
  <c r="T61" i="38"/>
  <c r="S61" i="38"/>
  <c r="Q61" i="38"/>
  <c r="O61" i="38"/>
  <c r="M61" i="38"/>
  <c r="K61" i="38"/>
  <c r="X60" i="38"/>
  <c r="W60" i="38"/>
  <c r="V60" i="38"/>
  <c r="U60" i="38"/>
  <c r="T60" i="38"/>
  <c r="S60" i="38"/>
  <c r="Q60" i="38"/>
  <c r="O60" i="38"/>
  <c r="M60" i="38"/>
  <c r="K60" i="38"/>
  <c r="X59" i="38"/>
  <c r="W59" i="38"/>
  <c r="V59" i="38"/>
  <c r="U59" i="38"/>
  <c r="T59" i="38"/>
  <c r="S59" i="38"/>
  <c r="Q59" i="38"/>
  <c r="O59" i="38"/>
  <c r="M59" i="38"/>
  <c r="K59" i="38"/>
  <c r="X58" i="38"/>
  <c r="W58" i="38"/>
  <c r="V58" i="38"/>
  <c r="U58" i="38"/>
  <c r="T58" i="38"/>
  <c r="S58" i="38"/>
  <c r="Q58" i="38"/>
  <c r="O58" i="38"/>
  <c r="M58" i="38"/>
  <c r="K58" i="38"/>
  <c r="X57" i="38"/>
  <c r="W57" i="38"/>
  <c r="V57" i="38"/>
  <c r="U57" i="38"/>
  <c r="T57" i="38"/>
  <c r="S57" i="38"/>
  <c r="Q57" i="38"/>
  <c r="O57" i="38"/>
  <c r="M57" i="38"/>
  <c r="K57" i="38"/>
  <c r="X56" i="38"/>
  <c r="W56" i="38"/>
  <c r="V56" i="38"/>
  <c r="U56" i="38"/>
  <c r="T56" i="38"/>
  <c r="S56" i="38"/>
  <c r="Q56" i="38"/>
  <c r="O56" i="38"/>
  <c r="M56" i="38"/>
  <c r="K56" i="38"/>
  <c r="X55" i="38"/>
  <c r="W55" i="38"/>
  <c r="V55" i="38"/>
  <c r="U55" i="38"/>
  <c r="T55" i="38"/>
  <c r="S55" i="38"/>
  <c r="Q55" i="38"/>
  <c r="O55" i="38"/>
  <c r="M55" i="38"/>
  <c r="K55" i="38"/>
  <c r="X54" i="38"/>
  <c r="W54" i="38"/>
  <c r="V54" i="38"/>
  <c r="U54" i="38"/>
  <c r="T54" i="38"/>
  <c r="S54" i="38"/>
  <c r="Q54" i="38"/>
  <c r="O54" i="38"/>
  <c r="M54" i="38"/>
  <c r="K54" i="38"/>
  <c r="X53" i="38"/>
  <c r="W53" i="38"/>
  <c r="V53" i="38"/>
  <c r="U53" i="38"/>
  <c r="T53" i="38"/>
  <c r="S53" i="38"/>
  <c r="Q53" i="38"/>
  <c r="O53" i="38"/>
  <c r="M53" i="38"/>
  <c r="K53" i="38"/>
  <c r="X52" i="38"/>
  <c r="W52" i="38"/>
  <c r="V52" i="38"/>
  <c r="U52" i="38"/>
  <c r="T52" i="38"/>
  <c r="S52" i="38"/>
  <c r="Q52" i="38"/>
  <c r="O52" i="38"/>
  <c r="M52" i="38"/>
  <c r="K52" i="38"/>
  <c r="X51" i="38"/>
  <c r="W51" i="38"/>
  <c r="V51" i="38"/>
  <c r="U51" i="38"/>
  <c r="T51" i="38"/>
  <c r="S51" i="38"/>
  <c r="Q51" i="38"/>
  <c r="O51" i="38"/>
  <c r="M51" i="38"/>
  <c r="K51" i="38"/>
  <c r="X50" i="38"/>
  <c r="W50" i="38"/>
  <c r="V50" i="38"/>
  <c r="U50" i="38"/>
  <c r="T50" i="38"/>
  <c r="S50" i="38"/>
  <c r="Q50" i="38"/>
  <c r="O50" i="38"/>
  <c r="M50" i="38"/>
  <c r="K50" i="38"/>
  <c r="X49" i="38"/>
  <c r="W49" i="38"/>
  <c r="V49" i="38"/>
  <c r="U49" i="38"/>
  <c r="T49" i="38"/>
  <c r="S49" i="38"/>
  <c r="Q49" i="38"/>
  <c r="O49" i="38"/>
  <c r="M49" i="38"/>
  <c r="K49" i="38"/>
  <c r="X48" i="38"/>
  <c r="W48" i="38"/>
  <c r="V48" i="38"/>
  <c r="U48" i="38"/>
  <c r="T48" i="38"/>
  <c r="S48" i="38"/>
  <c r="Q48" i="38"/>
  <c r="O48" i="38"/>
  <c r="M48" i="38"/>
  <c r="K48" i="38"/>
  <c r="X47" i="38"/>
  <c r="W47" i="38"/>
  <c r="V47" i="38"/>
  <c r="U47" i="38"/>
  <c r="T47" i="38"/>
  <c r="S47" i="38"/>
  <c r="Q47" i="38"/>
  <c r="O47" i="38"/>
  <c r="M47" i="38"/>
  <c r="K47" i="38"/>
  <c r="X46" i="38"/>
  <c r="W46" i="38"/>
  <c r="V46" i="38"/>
  <c r="U46" i="38"/>
  <c r="T46" i="38"/>
  <c r="S46" i="38"/>
  <c r="Q46" i="38"/>
  <c r="O46" i="38"/>
  <c r="M46" i="38"/>
  <c r="K46" i="38"/>
  <c r="X45" i="38"/>
  <c r="W45" i="38"/>
  <c r="V45" i="38"/>
  <c r="U45" i="38"/>
  <c r="T45" i="38"/>
  <c r="S45" i="38"/>
  <c r="Q45" i="38"/>
  <c r="O45" i="38"/>
  <c r="M45" i="38"/>
  <c r="K45" i="38"/>
  <c r="X44" i="38"/>
  <c r="W44" i="38"/>
  <c r="V44" i="38"/>
  <c r="U44" i="38"/>
  <c r="T44" i="38"/>
  <c r="S44" i="38"/>
  <c r="Q44" i="38"/>
  <c r="O44" i="38"/>
  <c r="M44" i="38"/>
  <c r="K44" i="38"/>
  <c r="X43" i="38"/>
  <c r="W43" i="38"/>
  <c r="V43" i="38"/>
  <c r="U43" i="38"/>
  <c r="T43" i="38"/>
  <c r="S43" i="38"/>
  <c r="Q43" i="38"/>
  <c r="O43" i="38"/>
  <c r="M43" i="38"/>
  <c r="K43" i="38"/>
  <c r="X42" i="38"/>
  <c r="W42" i="38"/>
  <c r="V42" i="38"/>
  <c r="U42" i="38"/>
  <c r="T42" i="38"/>
  <c r="S42" i="38"/>
  <c r="Q42" i="38"/>
  <c r="O42" i="38"/>
  <c r="M42" i="38"/>
  <c r="K42" i="38"/>
  <c r="X41" i="38"/>
  <c r="W41" i="38"/>
  <c r="V41" i="38"/>
  <c r="U41" i="38"/>
  <c r="T41" i="38"/>
  <c r="S41" i="38"/>
  <c r="Q41" i="38"/>
  <c r="O41" i="38"/>
  <c r="M41" i="38"/>
  <c r="K41" i="38"/>
  <c r="X40" i="38"/>
  <c r="W40" i="38"/>
  <c r="V40" i="38"/>
  <c r="U40" i="38"/>
  <c r="T40" i="38"/>
  <c r="S40" i="38"/>
  <c r="Q40" i="38"/>
  <c r="O40" i="38"/>
  <c r="M40" i="38"/>
  <c r="K40" i="38"/>
  <c r="X39" i="38"/>
  <c r="W39" i="38"/>
  <c r="V39" i="38"/>
  <c r="U39" i="38"/>
  <c r="T39" i="38"/>
  <c r="S39" i="38"/>
  <c r="Q39" i="38"/>
  <c r="O39" i="38"/>
  <c r="M39" i="38"/>
  <c r="K39" i="38"/>
  <c r="X38" i="38"/>
  <c r="W38" i="38"/>
  <c r="V38" i="38"/>
  <c r="U38" i="38"/>
  <c r="T38" i="38"/>
  <c r="S38" i="38"/>
  <c r="Q38" i="38"/>
  <c r="O38" i="38"/>
  <c r="M38" i="38"/>
  <c r="K38" i="38"/>
  <c r="X37" i="38"/>
  <c r="W37" i="38"/>
  <c r="V37" i="38"/>
  <c r="U37" i="38"/>
  <c r="T37" i="38"/>
  <c r="S37" i="38"/>
  <c r="Q37" i="38"/>
  <c r="O37" i="38"/>
  <c r="M37" i="38"/>
  <c r="K37" i="38"/>
  <c r="X36" i="38"/>
  <c r="W36" i="38"/>
  <c r="V36" i="38"/>
  <c r="U36" i="38"/>
  <c r="T36" i="38"/>
  <c r="S36" i="38"/>
  <c r="Q36" i="38"/>
  <c r="O36" i="38"/>
  <c r="M36" i="38"/>
  <c r="K36" i="38"/>
  <c r="X35" i="38"/>
  <c r="W35" i="38"/>
  <c r="V35" i="38"/>
  <c r="U35" i="38"/>
  <c r="T35" i="38"/>
  <c r="S35" i="38"/>
  <c r="Q35" i="38"/>
  <c r="O35" i="38"/>
  <c r="M35" i="38"/>
  <c r="K35" i="38"/>
  <c r="X34" i="38"/>
  <c r="W34" i="38"/>
  <c r="V34" i="38"/>
  <c r="U34" i="38"/>
  <c r="T34" i="38"/>
  <c r="S34" i="38"/>
  <c r="Q34" i="38"/>
  <c r="O34" i="38"/>
  <c r="M34" i="38"/>
  <c r="K34" i="38"/>
  <c r="X33" i="38"/>
  <c r="W33" i="38"/>
  <c r="V33" i="38"/>
  <c r="U33" i="38"/>
  <c r="T33" i="38"/>
  <c r="S33" i="38"/>
  <c r="Q33" i="38"/>
  <c r="O33" i="38"/>
  <c r="M33" i="38"/>
  <c r="K33" i="38"/>
  <c r="X32" i="38"/>
  <c r="W32" i="38"/>
  <c r="V32" i="38"/>
  <c r="U32" i="38"/>
  <c r="T32" i="38"/>
  <c r="S32" i="38"/>
  <c r="Q32" i="38"/>
  <c r="O32" i="38"/>
  <c r="M32" i="38"/>
  <c r="K32" i="38"/>
  <c r="X31" i="38"/>
  <c r="W31" i="38"/>
  <c r="V31" i="38"/>
  <c r="U31" i="38"/>
  <c r="T31" i="38"/>
  <c r="S31" i="38"/>
  <c r="Q31" i="38"/>
  <c r="O31" i="38"/>
  <c r="M31" i="38"/>
  <c r="K31" i="38"/>
  <c r="X30" i="38"/>
  <c r="W30" i="38"/>
  <c r="V30" i="38"/>
  <c r="U30" i="38"/>
  <c r="T30" i="38"/>
  <c r="S30" i="38"/>
  <c r="Q30" i="38"/>
  <c r="O30" i="38"/>
  <c r="M30" i="38"/>
  <c r="K30" i="38"/>
  <c r="X29" i="38"/>
  <c r="W29" i="38"/>
  <c r="V29" i="38"/>
  <c r="U29" i="38"/>
  <c r="T29" i="38"/>
  <c r="S29" i="38"/>
  <c r="Q29" i="38"/>
  <c r="O29" i="38"/>
  <c r="M29" i="38"/>
  <c r="K29" i="38"/>
  <c r="X28" i="38"/>
  <c r="W28" i="38"/>
  <c r="V28" i="38"/>
  <c r="U28" i="38"/>
  <c r="T28" i="38"/>
  <c r="S28" i="38"/>
  <c r="Q28" i="38"/>
  <c r="O28" i="38"/>
  <c r="M28" i="38"/>
  <c r="K28" i="38"/>
  <c r="X27" i="38"/>
  <c r="W27" i="38"/>
  <c r="V27" i="38"/>
  <c r="U27" i="38"/>
  <c r="T27" i="38"/>
  <c r="S27" i="38"/>
  <c r="Q27" i="38"/>
  <c r="O27" i="38"/>
  <c r="M27" i="38"/>
  <c r="K27" i="38"/>
  <c r="X26" i="38"/>
  <c r="W26" i="38"/>
  <c r="V26" i="38"/>
  <c r="U26" i="38"/>
  <c r="T26" i="38"/>
  <c r="S26" i="38"/>
  <c r="Q26" i="38"/>
  <c r="O26" i="38"/>
  <c r="M26" i="38"/>
  <c r="K26" i="38"/>
  <c r="X25" i="38"/>
  <c r="W25" i="38"/>
  <c r="V25" i="38"/>
  <c r="U25" i="38"/>
  <c r="T25" i="38"/>
  <c r="S25" i="38"/>
  <c r="Q25" i="38"/>
  <c r="O25" i="38"/>
  <c r="M25" i="38"/>
  <c r="K25" i="38"/>
  <c r="X24" i="38"/>
  <c r="W24" i="38"/>
  <c r="V24" i="38"/>
  <c r="U24" i="38"/>
  <c r="T24" i="38"/>
  <c r="S24" i="38"/>
  <c r="Q24" i="38"/>
  <c r="O24" i="38"/>
  <c r="M24" i="38"/>
  <c r="K24" i="38"/>
  <c r="X23" i="38"/>
  <c r="W23" i="38"/>
  <c r="V23" i="38"/>
  <c r="U23" i="38"/>
  <c r="T23" i="38"/>
  <c r="S23" i="38"/>
  <c r="Q23" i="38"/>
  <c r="O23" i="38"/>
  <c r="M23" i="38"/>
  <c r="K23" i="38"/>
  <c r="X22" i="38"/>
  <c r="W22" i="38"/>
  <c r="V22" i="38"/>
  <c r="U22" i="38"/>
  <c r="T22" i="38"/>
  <c r="S22" i="38"/>
  <c r="Q22" i="38"/>
  <c r="O22" i="38"/>
  <c r="M22" i="38"/>
  <c r="K22" i="38"/>
  <c r="X21" i="38"/>
  <c r="W21" i="38"/>
  <c r="V21" i="38"/>
  <c r="U21" i="38"/>
  <c r="T21" i="38"/>
  <c r="S21" i="38"/>
  <c r="Q21" i="38"/>
  <c r="O21" i="38"/>
  <c r="M21" i="38"/>
  <c r="K21" i="38"/>
  <c r="X20" i="38"/>
  <c r="W20" i="38"/>
  <c r="V20" i="38"/>
  <c r="U20" i="38"/>
  <c r="T20" i="38"/>
  <c r="S20" i="38"/>
  <c r="Q20" i="38"/>
  <c r="O20" i="38"/>
  <c r="M20" i="38"/>
  <c r="K20" i="38"/>
  <c r="X19" i="38"/>
  <c r="W19" i="38"/>
  <c r="V19" i="38"/>
  <c r="U19" i="38"/>
  <c r="T19" i="38"/>
  <c r="S19" i="38"/>
  <c r="Q19" i="38"/>
  <c r="O19" i="38"/>
  <c r="M19" i="38"/>
  <c r="K19" i="38"/>
  <c r="X18" i="38"/>
  <c r="W18" i="38"/>
  <c r="V18" i="38"/>
  <c r="U18" i="38"/>
  <c r="T18" i="38"/>
  <c r="S18" i="38"/>
  <c r="Q18" i="38"/>
  <c r="O18" i="38"/>
  <c r="M18" i="38"/>
  <c r="K18" i="38"/>
  <c r="X17" i="38"/>
  <c r="W17" i="38"/>
  <c r="V17" i="38"/>
  <c r="U17" i="38"/>
  <c r="T17" i="38"/>
  <c r="S17" i="38"/>
  <c r="Q17" i="38"/>
  <c r="O17" i="38"/>
  <c r="M17" i="38"/>
  <c r="K17" i="38"/>
  <c r="X16" i="38"/>
  <c r="W16" i="38"/>
  <c r="V16" i="38"/>
  <c r="U16" i="38"/>
  <c r="T16" i="38"/>
  <c r="S16" i="38"/>
  <c r="Q16" i="38"/>
  <c r="O16" i="38"/>
  <c r="M16" i="38"/>
  <c r="K16" i="38"/>
  <c r="X15" i="38"/>
  <c r="W15" i="38"/>
  <c r="V15" i="38"/>
  <c r="U15" i="38"/>
  <c r="T15" i="38"/>
  <c r="S15" i="38"/>
  <c r="Q15" i="38"/>
  <c r="O15" i="38"/>
  <c r="M15" i="38"/>
  <c r="K15" i="38"/>
  <c r="X14" i="38"/>
  <c r="W14" i="38"/>
  <c r="V14" i="38"/>
  <c r="U14" i="38"/>
  <c r="T14" i="38"/>
  <c r="S14" i="38"/>
  <c r="Q14" i="38"/>
  <c r="O14" i="38"/>
  <c r="M14" i="38"/>
  <c r="K14" i="38"/>
  <c r="X13" i="38"/>
  <c r="W13" i="38"/>
  <c r="V13" i="38"/>
  <c r="U13" i="38"/>
  <c r="T13" i="38"/>
  <c r="S13" i="38"/>
  <c r="Q13" i="38"/>
  <c r="O13" i="38"/>
  <c r="M13" i="38"/>
  <c r="K13" i="38"/>
  <c r="X12" i="38"/>
  <c r="W12" i="38"/>
  <c r="V12" i="38"/>
  <c r="U12" i="38"/>
  <c r="T12" i="38"/>
  <c r="S12" i="38"/>
  <c r="Q12" i="38"/>
  <c r="O12" i="38"/>
  <c r="M12" i="38"/>
  <c r="K12" i="38"/>
  <c r="X11" i="38"/>
  <c r="W11" i="38"/>
  <c r="V11" i="38"/>
  <c r="U11" i="38"/>
  <c r="T11" i="38"/>
  <c r="S11" i="38"/>
  <c r="Q11" i="38"/>
  <c r="O11" i="38"/>
  <c r="M11" i="38"/>
  <c r="K11" i="38"/>
  <c r="X10" i="38"/>
  <c r="W10" i="38"/>
  <c r="V10" i="38"/>
  <c r="U10" i="38"/>
  <c r="T10" i="38"/>
  <c r="S10" i="38"/>
  <c r="Q10" i="38"/>
  <c r="O10" i="38"/>
  <c r="M10" i="38"/>
  <c r="K10" i="38"/>
  <c r="X9" i="38"/>
  <c r="W9" i="38"/>
  <c r="V9" i="38"/>
  <c r="U9" i="38"/>
  <c r="T9" i="38"/>
  <c r="S9" i="38"/>
  <c r="Q9" i="38"/>
  <c r="O9" i="38"/>
  <c r="M9" i="38"/>
  <c r="K9" i="38"/>
  <c r="X8" i="38"/>
  <c r="W8" i="38"/>
  <c r="V8" i="38"/>
  <c r="U8" i="38"/>
  <c r="T8" i="38"/>
  <c r="S8" i="38"/>
  <c r="Q8" i="38"/>
  <c r="O8" i="38"/>
  <c r="M8" i="38"/>
  <c r="K8" i="38"/>
  <c r="X7" i="38"/>
  <c r="W7" i="38"/>
  <c r="V7" i="38"/>
  <c r="U7" i="38"/>
  <c r="T7" i="38"/>
  <c r="S7" i="38"/>
  <c r="Q7" i="38"/>
  <c r="O7" i="38"/>
  <c r="M7" i="38"/>
  <c r="K7" i="38"/>
  <c r="X352" i="37"/>
  <c r="W352" i="37"/>
  <c r="V352" i="37"/>
  <c r="U352" i="37"/>
  <c r="T352" i="37"/>
  <c r="S352" i="37"/>
  <c r="Q352" i="37"/>
  <c r="O352" i="37"/>
  <c r="M352" i="37"/>
  <c r="K352" i="37"/>
  <c r="X351" i="37"/>
  <c r="W351" i="37"/>
  <c r="V351" i="37"/>
  <c r="U351" i="37"/>
  <c r="T351" i="37"/>
  <c r="S351" i="37"/>
  <c r="Q351" i="37"/>
  <c r="O351" i="37"/>
  <c r="M351" i="37"/>
  <c r="K351" i="37"/>
  <c r="X350" i="37"/>
  <c r="W350" i="37"/>
  <c r="V350" i="37"/>
  <c r="U350" i="37"/>
  <c r="T350" i="37"/>
  <c r="S350" i="37"/>
  <c r="Q350" i="37"/>
  <c r="O350" i="37"/>
  <c r="M350" i="37"/>
  <c r="K350" i="37"/>
  <c r="X349" i="37"/>
  <c r="W349" i="37"/>
  <c r="V349" i="37"/>
  <c r="U349" i="37"/>
  <c r="T349" i="37"/>
  <c r="S349" i="37"/>
  <c r="Q349" i="37"/>
  <c r="O349" i="37"/>
  <c r="M349" i="37"/>
  <c r="K349" i="37"/>
  <c r="X348" i="37"/>
  <c r="W348" i="37"/>
  <c r="V348" i="37"/>
  <c r="U348" i="37"/>
  <c r="T348" i="37"/>
  <c r="S348" i="37"/>
  <c r="Q348" i="37"/>
  <c r="O348" i="37"/>
  <c r="M348" i="37"/>
  <c r="K348" i="37"/>
  <c r="X347" i="37"/>
  <c r="W347" i="37"/>
  <c r="V347" i="37"/>
  <c r="U347" i="37"/>
  <c r="T347" i="37"/>
  <c r="S347" i="37"/>
  <c r="Q347" i="37"/>
  <c r="O347" i="37"/>
  <c r="M347" i="37"/>
  <c r="K347" i="37"/>
  <c r="X346" i="37"/>
  <c r="W346" i="37"/>
  <c r="V346" i="37"/>
  <c r="U346" i="37"/>
  <c r="T346" i="37"/>
  <c r="S346" i="37"/>
  <c r="Q346" i="37"/>
  <c r="O346" i="37"/>
  <c r="M346" i="37"/>
  <c r="K346" i="37"/>
  <c r="X345" i="37"/>
  <c r="W345" i="37"/>
  <c r="V345" i="37"/>
  <c r="U345" i="37"/>
  <c r="T345" i="37"/>
  <c r="S345" i="37"/>
  <c r="Q345" i="37"/>
  <c r="O345" i="37"/>
  <c r="M345" i="37"/>
  <c r="K345" i="37"/>
  <c r="X344" i="37"/>
  <c r="W344" i="37"/>
  <c r="V344" i="37"/>
  <c r="U344" i="37"/>
  <c r="T344" i="37"/>
  <c r="S344" i="37"/>
  <c r="Q344" i="37"/>
  <c r="O344" i="37"/>
  <c r="M344" i="37"/>
  <c r="K344" i="37"/>
  <c r="X343" i="37"/>
  <c r="W343" i="37"/>
  <c r="V343" i="37"/>
  <c r="U343" i="37"/>
  <c r="T343" i="37"/>
  <c r="S343" i="37"/>
  <c r="Q343" i="37"/>
  <c r="O343" i="37"/>
  <c r="M343" i="37"/>
  <c r="K343" i="37"/>
  <c r="X342" i="37"/>
  <c r="W342" i="37"/>
  <c r="V342" i="37"/>
  <c r="U342" i="37"/>
  <c r="T342" i="37"/>
  <c r="S342" i="37"/>
  <c r="Q342" i="37"/>
  <c r="O342" i="37"/>
  <c r="M342" i="37"/>
  <c r="K342" i="37"/>
  <c r="X341" i="37"/>
  <c r="W341" i="37"/>
  <c r="V341" i="37"/>
  <c r="U341" i="37"/>
  <c r="T341" i="37"/>
  <c r="S341" i="37"/>
  <c r="Q341" i="37"/>
  <c r="O341" i="37"/>
  <c r="M341" i="37"/>
  <c r="K341" i="37"/>
  <c r="X340" i="37"/>
  <c r="W340" i="37"/>
  <c r="V340" i="37"/>
  <c r="U340" i="37"/>
  <c r="T340" i="37"/>
  <c r="S340" i="37"/>
  <c r="Q340" i="37"/>
  <c r="O340" i="37"/>
  <c r="M340" i="37"/>
  <c r="K340" i="37"/>
  <c r="X339" i="37"/>
  <c r="W339" i="37"/>
  <c r="V339" i="37"/>
  <c r="U339" i="37"/>
  <c r="T339" i="37"/>
  <c r="S339" i="37"/>
  <c r="Q339" i="37"/>
  <c r="O339" i="37"/>
  <c r="M339" i="37"/>
  <c r="K339" i="37"/>
  <c r="X338" i="37"/>
  <c r="W338" i="37"/>
  <c r="V338" i="37"/>
  <c r="U338" i="37"/>
  <c r="T338" i="37"/>
  <c r="S338" i="37"/>
  <c r="Q338" i="37"/>
  <c r="O338" i="37"/>
  <c r="M338" i="37"/>
  <c r="K338" i="37"/>
  <c r="X337" i="37"/>
  <c r="W337" i="37"/>
  <c r="V337" i="37"/>
  <c r="U337" i="37"/>
  <c r="T337" i="37"/>
  <c r="S337" i="37"/>
  <c r="Q337" i="37"/>
  <c r="O337" i="37"/>
  <c r="M337" i="37"/>
  <c r="K337" i="37"/>
  <c r="X336" i="37"/>
  <c r="W336" i="37"/>
  <c r="V336" i="37"/>
  <c r="U336" i="37"/>
  <c r="T336" i="37"/>
  <c r="S336" i="37"/>
  <c r="Q336" i="37"/>
  <c r="O336" i="37"/>
  <c r="M336" i="37"/>
  <c r="K336" i="37"/>
  <c r="X335" i="37"/>
  <c r="W335" i="37"/>
  <c r="V335" i="37"/>
  <c r="U335" i="37"/>
  <c r="T335" i="37"/>
  <c r="S335" i="37"/>
  <c r="Q335" i="37"/>
  <c r="O335" i="37"/>
  <c r="M335" i="37"/>
  <c r="K335" i="37"/>
  <c r="X334" i="37"/>
  <c r="W334" i="37"/>
  <c r="V334" i="37"/>
  <c r="U334" i="37"/>
  <c r="T334" i="37"/>
  <c r="S334" i="37"/>
  <c r="Q334" i="37"/>
  <c r="O334" i="37"/>
  <c r="M334" i="37"/>
  <c r="K334" i="37"/>
  <c r="X333" i="37"/>
  <c r="W333" i="37"/>
  <c r="V333" i="37"/>
  <c r="U333" i="37"/>
  <c r="T333" i="37"/>
  <c r="S333" i="37"/>
  <c r="Q333" i="37"/>
  <c r="O333" i="37"/>
  <c r="M333" i="37"/>
  <c r="K333" i="37"/>
  <c r="X332" i="37"/>
  <c r="W332" i="37"/>
  <c r="V332" i="37"/>
  <c r="U332" i="37"/>
  <c r="T332" i="37"/>
  <c r="S332" i="37"/>
  <c r="Q332" i="37"/>
  <c r="O332" i="37"/>
  <c r="M332" i="37"/>
  <c r="K332" i="37"/>
  <c r="X331" i="37"/>
  <c r="W331" i="37"/>
  <c r="V331" i="37"/>
  <c r="U331" i="37"/>
  <c r="T331" i="37"/>
  <c r="S331" i="37"/>
  <c r="Q331" i="37"/>
  <c r="O331" i="37"/>
  <c r="M331" i="37"/>
  <c r="K331" i="37"/>
  <c r="X330" i="37"/>
  <c r="W330" i="37"/>
  <c r="V330" i="37"/>
  <c r="U330" i="37"/>
  <c r="T330" i="37"/>
  <c r="S330" i="37"/>
  <c r="Q330" i="37"/>
  <c r="O330" i="37"/>
  <c r="M330" i="37"/>
  <c r="K330" i="37"/>
  <c r="X329" i="37"/>
  <c r="W329" i="37"/>
  <c r="V329" i="37"/>
  <c r="U329" i="37"/>
  <c r="T329" i="37"/>
  <c r="S329" i="37"/>
  <c r="Q329" i="37"/>
  <c r="O329" i="37"/>
  <c r="M329" i="37"/>
  <c r="K329" i="37"/>
  <c r="X328" i="37"/>
  <c r="W328" i="37"/>
  <c r="V328" i="37"/>
  <c r="U328" i="37"/>
  <c r="T328" i="37"/>
  <c r="S328" i="37"/>
  <c r="Q328" i="37"/>
  <c r="O328" i="37"/>
  <c r="M328" i="37"/>
  <c r="K328" i="37"/>
  <c r="X327" i="37"/>
  <c r="W327" i="37"/>
  <c r="V327" i="37"/>
  <c r="U327" i="37"/>
  <c r="T327" i="37"/>
  <c r="S327" i="37"/>
  <c r="Q327" i="37"/>
  <c r="O327" i="37"/>
  <c r="M327" i="37"/>
  <c r="K327" i="37"/>
  <c r="X326" i="37"/>
  <c r="W326" i="37"/>
  <c r="V326" i="37"/>
  <c r="U326" i="37"/>
  <c r="T326" i="37"/>
  <c r="S326" i="37"/>
  <c r="Q326" i="37"/>
  <c r="O326" i="37"/>
  <c r="M326" i="37"/>
  <c r="K326" i="37"/>
  <c r="X325" i="37"/>
  <c r="W325" i="37"/>
  <c r="V325" i="37"/>
  <c r="U325" i="37"/>
  <c r="T325" i="37"/>
  <c r="S325" i="37"/>
  <c r="Q325" i="37"/>
  <c r="O325" i="37"/>
  <c r="M325" i="37"/>
  <c r="K325" i="37"/>
  <c r="X324" i="37"/>
  <c r="W324" i="37"/>
  <c r="V324" i="37"/>
  <c r="U324" i="37"/>
  <c r="T324" i="37"/>
  <c r="S324" i="37"/>
  <c r="Q324" i="37"/>
  <c r="O324" i="37"/>
  <c r="M324" i="37"/>
  <c r="K324" i="37"/>
  <c r="X323" i="37"/>
  <c r="W323" i="37"/>
  <c r="V323" i="37"/>
  <c r="U323" i="37"/>
  <c r="T323" i="37"/>
  <c r="S323" i="37"/>
  <c r="Q323" i="37"/>
  <c r="O323" i="37"/>
  <c r="M323" i="37"/>
  <c r="K323" i="37"/>
  <c r="X322" i="37"/>
  <c r="W322" i="37"/>
  <c r="V322" i="37"/>
  <c r="U322" i="37"/>
  <c r="T322" i="37"/>
  <c r="S322" i="37"/>
  <c r="Q322" i="37"/>
  <c r="O322" i="37"/>
  <c r="M322" i="37"/>
  <c r="K322" i="37"/>
  <c r="X321" i="37"/>
  <c r="W321" i="37"/>
  <c r="V321" i="37"/>
  <c r="U321" i="37"/>
  <c r="T321" i="37"/>
  <c r="S321" i="37"/>
  <c r="Q321" i="37"/>
  <c r="O321" i="37"/>
  <c r="M321" i="37"/>
  <c r="K321" i="37"/>
  <c r="X320" i="37"/>
  <c r="W320" i="37"/>
  <c r="V320" i="37"/>
  <c r="U320" i="37"/>
  <c r="T320" i="37"/>
  <c r="S320" i="37"/>
  <c r="Q320" i="37"/>
  <c r="O320" i="37"/>
  <c r="M320" i="37"/>
  <c r="K320" i="37"/>
  <c r="X319" i="37"/>
  <c r="W319" i="37"/>
  <c r="V319" i="37"/>
  <c r="U319" i="37"/>
  <c r="T319" i="37"/>
  <c r="S319" i="37"/>
  <c r="Q319" i="37"/>
  <c r="O319" i="37"/>
  <c r="M319" i="37"/>
  <c r="K319" i="37"/>
  <c r="X318" i="37"/>
  <c r="W318" i="37"/>
  <c r="V318" i="37"/>
  <c r="U318" i="37"/>
  <c r="T318" i="37"/>
  <c r="S318" i="37"/>
  <c r="Q318" i="37"/>
  <c r="O318" i="37"/>
  <c r="M318" i="37"/>
  <c r="K318" i="37"/>
  <c r="X317" i="37"/>
  <c r="W317" i="37"/>
  <c r="V317" i="37"/>
  <c r="U317" i="37"/>
  <c r="T317" i="37"/>
  <c r="S317" i="37"/>
  <c r="Q317" i="37"/>
  <c r="O317" i="37"/>
  <c r="M317" i="37"/>
  <c r="K317" i="37"/>
  <c r="X316" i="37"/>
  <c r="W316" i="37"/>
  <c r="V316" i="37"/>
  <c r="U316" i="37"/>
  <c r="T316" i="37"/>
  <c r="S316" i="37"/>
  <c r="Q316" i="37"/>
  <c r="O316" i="37"/>
  <c r="M316" i="37"/>
  <c r="K316" i="37"/>
  <c r="X315" i="37"/>
  <c r="W315" i="37"/>
  <c r="V315" i="37"/>
  <c r="U315" i="37"/>
  <c r="T315" i="37"/>
  <c r="S315" i="37"/>
  <c r="Q315" i="37"/>
  <c r="O315" i="37"/>
  <c r="M315" i="37"/>
  <c r="K315" i="37"/>
  <c r="X314" i="37"/>
  <c r="W314" i="37"/>
  <c r="V314" i="37"/>
  <c r="U314" i="37"/>
  <c r="T314" i="37"/>
  <c r="S314" i="37"/>
  <c r="Q314" i="37"/>
  <c r="O314" i="37"/>
  <c r="M314" i="37"/>
  <c r="K314" i="37"/>
  <c r="X313" i="37"/>
  <c r="W313" i="37"/>
  <c r="V313" i="37"/>
  <c r="U313" i="37"/>
  <c r="T313" i="37"/>
  <c r="S313" i="37"/>
  <c r="Q313" i="37"/>
  <c r="O313" i="37"/>
  <c r="M313" i="37"/>
  <c r="K313" i="37"/>
  <c r="X312" i="37"/>
  <c r="W312" i="37"/>
  <c r="V312" i="37"/>
  <c r="U312" i="37"/>
  <c r="T312" i="37"/>
  <c r="S312" i="37"/>
  <c r="Q312" i="37"/>
  <c r="O312" i="37"/>
  <c r="M312" i="37"/>
  <c r="K312" i="37"/>
  <c r="X311" i="37"/>
  <c r="W311" i="37"/>
  <c r="V311" i="37"/>
  <c r="U311" i="37"/>
  <c r="T311" i="37"/>
  <c r="S311" i="37"/>
  <c r="Q311" i="37"/>
  <c r="O311" i="37"/>
  <c r="M311" i="37"/>
  <c r="K311" i="37"/>
  <c r="X310" i="37"/>
  <c r="W310" i="37"/>
  <c r="V310" i="37"/>
  <c r="U310" i="37"/>
  <c r="T310" i="37"/>
  <c r="S310" i="37"/>
  <c r="Q310" i="37"/>
  <c r="O310" i="37"/>
  <c r="M310" i="37"/>
  <c r="K310" i="37"/>
  <c r="X309" i="37"/>
  <c r="W309" i="37"/>
  <c r="V309" i="37"/>
  <c r="U309" i="37"/>
  <c r="T309" i="37"/>
  <c r="S309" i="37"/>
  <c r="Q309" i="37"/>
  <c r="O309" i="37"/>
  <c r="M309" i="37"/>
  <c r="K309" i="37"/>
  <c r="X308" i="37"/>
  <c r="W308" i="37"/>
  <c r="V308" i="37"/>
  <c r="U308" i="37"/>
  <c r="T308" i="37"/>
  <c r="S308" i="37"/>
  <c r="Q308" i="37"/>
  <c r="O308" i="37"/>
  <c r="M308" i="37"/>
  <c r="K308" i="37"/>
  <c r="X307" i="37"/>
  <c r="W307" i="37"/>
  <c r="V307" i="37"/>
  <c r="U307" i="37"/>
  <c r="T307" i="37"/>
  <c r="S307" i="37"/>
  <c r="Q307" i="37"/>
  <c r="O307" i="37"/>
  <c r="M307" i="37"/>
  <c r="K307" i="37"/>
  <c r="X306" i="37"/>
  <c r="W306" i="37"/>
  <c r="V306" i="37"/>
  <c r="U306" i="37"/>
  <c r="T306" i="37"/>
  <c r="S306" i="37"/>
  <c r="Q306" i="37"/>
  <c r="O306" i="37"/>
  <c r="M306" i="37"/>
  <c r="K306" i="37"/>
  <c r="X305" i="37"/>
  <c r="W305" i="37"/>
  <c r="V305" i="37"/>
  <c r="U305" i="37"/>
  <c r="T305" i="37"/>
  <c r="S305" i="37"/>
  <c r="Q305" i="37"/>
  <c r="O305" i="37"/>
  <c r="M305" i="37"/>
  <c r="K305" i="37"/>
  <c r="X304" i="37"/>
  <c r="W304" i="37"/>
  <c r="V304" i="37"/>
  <c r="U304" i="37"/>
  <c r="T304" i="37"/>
  <c r="S304" i="37"/>
  <c r="Q304" i="37"/>
  <c r="O304" i="37"/>
  <c r="M304" i="37"/>
  <c r="K304" i="37"/>
  <c r="X303" i="37"/>
  <c r="W303" i="37"/>
  <c r="V303" i="37"/>
  <c r="U303" i="37"/>
  <c r="T303" i="37"/>
  <c r="S303" i="37"/>
  <c r="Q303" i="37"/>
  <c r="O303" i="37"/>
  <c r="M303" i="37"/>
  <c r="K303" i="37"/>
  <c r="X302" i="37"/>
  <c r="W302" i="37"/>
  <c r="V302" i="37"/>
  <c r="U302" i="37"/>
  <c r="T302" i="37"/>
  <c r="S302" i="37"/>
  <c r="Q302" i="37"/>
  <c r="O302" i="37"/>
  <c r="M302" i="37"/>
  <c r="K302" i="37"/>
  <c r="X301" i="37"/>
  <c r="W301" i="37"/>
  <c r="V301" i="37"/>
  <c r="U301" i="37"/>
  <c r="T301" i="37"/>
  <c r="S301" i="37"/>
  <c r="Q301" i="37"/>
  <c r="O301" i="37"/>
  <c r="M301" i="37"/>
  <c r="K301" i="37"/>
  <c r="X300" i="37"/>
  <c r="W300" i="37"/>
  <c r="V300" i="37"/>
  <c r="U300" i="37"/>
  <c r="T300" i="37"/>
  <c r="S300" i="37"/>
  <c r="Q300" i="37"/>
  <c r="O300" i="37"/>
  <c r="M300" i="37"/>
  <c r="K300" i="37"/>
  <c r="X299" i="37"/>
  <c r="W299" i="37"/>
  <c r="V299" i="37"/>
  <c r="U299" i="37"/>
  <c r="T299" i="37"/>
  <c r="S299" i="37"/>
  <c r="Q299" i="37"/>
  <c r="O299" i="37"/>
  <c r="M299" i="37"/>
  <c r="K299" i="37"/>
  <c r="X298" i="37"/>
  <c r="W298" i="37"/>
  <c r="V298" i="37"/>
  <c r="U298" i="37"/>
  <c r="T298" i="37"/>
  <c r="S298" i="37"/>
  <c r="Q298" i="37"/>
  <c r="O298" i="37"/>
  <c r="M298" i="37"/>
  <c r="K298" i="37"/>
  <c r="X297" i="37"/>
  <c r="W297" i="37"/>
  <c r="V297" i="37"/>
  <c r="U297" i="37"/>
  <c r="T297" i="37"/>
  <c r="S297" i="37"/>
  <c r="Q297" i="37"/>
  <c r="O297" i="37"/>
  <c r="M297" i="37"/>
  <c r="K297" i="37"/>
  <c r="X296" i="37"/>
  <c r="W296" i="37"/>
  <c r="V296" i="37"/>
  <c r="U296" i="37"/>
  <c r="T296" i="37"/>
  <c r="S296" i="37"/>
  <c r="Q296" i="37"/>
  <c r="O296" i="37"/>
  <c r="M296" i="37"/>
  <c r="K296" i="37"/>
  <c r="X295" i="37"/>
  <c r="W295" i="37"/>
  <c r="V295" i="37"/>
  <c r="U295" i="37"/>
  <c r="T295" i="37"/>
  <c r="S295" i="37"/>
  <c r="Q295" i="37"/>
  <c r="O295" i="37"/>
  <c r="M295" i="37"/>
  <c r="K295" i="37"/>
  <c r="X294" i="37"/>
  <c r="W294" i="37"/>
  <c r="V294" i="37"/>
  <c r="U294" i="37"/>
  <c r="T294" i="37"/>
  <c r="S294" i="37"/>
  <c r="Q294" i="37"/>
  <c r="O294" i="37"/>
  <c r="M294" i="37"/>
  <c r="K294" i="37"/>
  <c r="X293" i="37"/>
  <c r="W293" i="37"/>
  <c r="V293" i="37"/>
  <c r="U293" i="37"/>
  <c r="T293" i="37"/>
  <c r="S293" i="37"/>
  <c r="Q293" i="37"/>
  <c r="O293" i="37"/>
  <c r="M293" i="37"/>
  <c r="K293" i="37"/>
  <c r="X292" i="37"/>
  <c r="W292" i="37"/>
  <c r="V292" i="37"/>
  <c r="U292" i="37"/>
  <c r="T292" i="37"/>
  <c r="S292" i="37"/>
  <c r="Q292" i="37"/>
  <c r="O292" i="37"/>
  <c r="M292" i="37"/>
  <c r="K292" i="37"/>
  <c r="X291" i="37"/>
  <c r="W291" i="37"/>
  <c r="V291" i="37"/>
  <c r="U291" i="37"/>
  <c r="T291" i="37"/>
  <c r="S291" i="37"/>
  <c r="Q291" i="37"/>
  <c r="O291" i="37"/>
  <c r="M291" i="37"/>
  <c r="K291" i="37"/>
  <c r="X290" i="37"/>
  <c r="W290" i="37"/>
  <c r="V290" i="37"/>
  <c r="U290" i="37"/>
  <c r="T290" i="37"/>
  <c r="S290" i="37"/>
  <c r="Q290" i="37"/>
  <c r="O290" i="37"/>
  <c r="M290" i="37"/>
  <c r="K290" i="37"/>
  <c r="X289" i="37"/>
  <c r="W289" i="37"/>
  <c r="V289" i="37"/>
  <c r="U289" i="37"/>
  <c r="T289" i="37"/>
  <c r="S289" i="37"/>
  <c r="Q289" i="37"/>
  <c r="O289" i="37"/>
  <c r="M289" i="37"/>
  <c r="K289" i="37"/>
  <c r="X288" i="37"/>
  <c r="W288" i="37"/>
  <c r="V288" i="37"/>
  <c r="U288" i="37"/>
  <c r="T288" i="37"/>
  <c r="S288" i="37"/>
  <c r="Q288" i="37"/>
  <c r="O288" i="37"/>
  <c r="M288" i="37"/>
  <c r="K288" i="37"/>
  <c r="X287" i="37"/>
  <c r="W287" i="37"/>
  <c r="V287" i="37"/>
  <c r="U287" i="37"/>
  <c r="T287" i="37"/>
  <c r="S287" i="37"/>
  <c r="Q287" i="37"/>
  <c r="O287" i="37"/>
  <c r="M287" i="37"/>
  <c r="K287" i="37"/>
  <c r="X286" i="37"/>
  <c r="W286" i="37"/>
  <c r="V286" i="37"/>
  <c r="U286" i="37"/>
  <c r="T286" i="37"/>
  <c r="S286" i="37"/>
  <c r="Q286" i="37"/>
  <c r="O286" i="37"/>
  <c r="M286" i="37"/>
  <c r="K286" i="37"/>
  <c r="X285" i="37"/>
  <c r="W285" i="37"/>
  <c r="V285" i="37"/>
  <c r="U285" i="37"/>
  <c r="T285" i="37"/>
  <c r="S285" i="37"/>
  <c r="Q285" i="37"/>
  <c r="O285" i="37"/>
  <c r="M285" i="37"/>
  <c r="K285" i="37"/>
  <c r="X284" i="37"/>
  <c r="W284" i="37"/>
  <c r="V284" i="37"/>
  <c r="U284" i="37"/>
  <c r="T284" i="37"/>
  <c r="S284" i="37"/>
  <c r="Q284" i="37"/>
  <c r="O284" i="37"/>
  <c r="M284" i="37"/>
  <c r="K284" i="37"/>
  <c r="X283" i="37"/>
  <c r="W283" i="37"/>
  <c r="V283" i="37"/>
  <c r="U283" i="37"/>
  <c r="T283" i="37"/>
  <c r="S283" i="37"/>
  <c r="Q283" i="37"/>
  <c r="O283" i="37"/>
  <c r="M283" i="37"/>
  <c r="K283" i="37"/>
  <c r="X282" i="37"/>
  <c r="W282" i="37"/>
  <c r="V282" i="37"/>
  <c r="U282" i="37"/>
  <c r="T282" i="37"/>
  <c r="S282" i="37"/>
  <c r="Q282" i="37"/>
  <c r="O282" i="37"/>
  <c r="M282" i="37"/>
  <c r="K282" i="37"/>
  <c r="X281" i="37"/>
  <c r="W281" i="37"/>
  <c r="V281" i="37"/>
  <c r="U281" i="37"/>
  <c r="T281" i="37"/>
  <c r="S281" i="37"/>
  <c r="Q281" i="37"/>
  <c r="O281" i="37"/>
  <c r="M281" i="37"/>
  <c r="K281" i="37"/>
  <c r="X280" i="37"/>
  <c r="W280" i="37"/>
  <c r="V280" i="37"/>
  <c r="U280" i="37"/>
  <c r="T280" i="37"/>
  <c r="S280" i="37"/>
  <c r="Q280" i="37"/>
  <c r="O280" i="37"/>
  <c r="M280" i="37"/>
  <c r="K280" i="37"/>
  <c r="X279" i="37"/>
  <c r="W279" i="37"/>
  <c r="V279" i="37"/>
  <c r="U279" i="37"/>
  <c r="T279" i="37"/>
  <c r="S279" i="37"/>
  <c r="Q279" i="37"/>
  <c r="O279" i="37"/>
  <c r="M279" i="37"/>
  <c r="K279" i="37"/>
  <c r="X278" i="37"/>
  <c r="W278" i="37"/>
  <c r="V278" i="37"/>
  <c r="U278" i="37"/>
  <c r="T278" i="37"/>
  <c r="S278" i="37"/>
  <c r="Q278" i="37"/>
  <c r="O278" i="37"/>
  <c r="M278" i="37"/>
  <c r="K278" i="37"/>
  <c r="X277" i="37"/>
  <c r="W277" i="37"/>
  <c r="V277" i="37"/>
  <c r="U277" i="37"/>
  <c r="T277" i="37"/>
  <c r="S277" i="37"/>
  <c r="Q277" i="37"/>
  <c r="O277" i="37"/>
  <c r="M277" i="37"/>
  <c r="K277" i="37"/>
  <c r="X276" i="37"/>
  <c r="W276" i="37"/>
  <c r="V276" i="37"/>
  <c r="U276" i="37"/>
  <c r="T276" i="37"/>
  <c r="S276" i="37"/>
  <c r="Q276" i="37"/>
  <c r="O276" i="37"/>
  <c r="M276" i="37"/>
  <c r="K276" i="37"/>
  <c r="X275" i="37"/>
  <c r="W275" i="37"/>
  <c r="V275" i="37"/>
  <c r="U275" i="37"/>
  <c r="T275" i="37"/>
  <c r="S275" i="37"/>
  <c r="Q275" i="37"/>
  <c r="O275" i="37"/>
  <c r="M275" i="37"/>
  <c r="K275" i="37"/>
  <c r="X274" i="37"/>
  <c r="W274" i="37"/>
  <c r="V274" i="37"/>
  <c r="U274" i="37"/>
  <c r="T274" i="37"/>
  <c r="S274" i="37"/>
  <c r="Q274" i="37"/>
  <c r="O274" i="37"/>
  <c r="M274" i="37"/>
  <c r="K274" i="37"/>
  <c r="X273" i="37"/>
  <c r="W273" i="37"/>
  <c r="V273" i="37"/>
  <c r="U273" i="37"/>
  <c r="T273" i="37"/>
  <c r="S273" i="37"/>
  <c r="Q273" i="37"/>
  <c r="O273" i="37"/>
  <c r="M273" i="37"/>
  <c r="K273" i="37"/>
  <c r="X272" i="37"/>
  <c r="W272" i="37"/>
  <c r="V272" i="37"/>
  <c r="U272" i="37"/>
  <c r="T272" i="37"/>
  <c r="S272" i="37"/>
  <c r="Q272" i="37"/>
  <c r="O272" i="37"/>
  <c r="M272" i="37"/>
  <c r="K272" i="37"/>
  <c r="X271" i="37"/>
  <c r="W271" i="37"/>
  <c r="V271" i="37"/>
  <c r="U271" i="37"/>
  <c r="T271" i="37"/>
  <c r="S271" i="37"/>
  <c r="Q271" i="37"/>
  <c r="O271" i="37"/>
  <c r="M271" i="37"/>
  <c r="K271" i="37"/>
  <c r="X270" i="37"/>
  <c r="W270" i="37"/>
  <c r="V270" i="37"/>
  <c r="U270" i="37"/>
  <c r="T270" i="37"/>
  <c r="S270" i="37"/>
  <c r="Q270" i="37"/>
  <c r="O270" i="37"/>
  <c r="M270" i="37"/>
  <c r="K270" i="37"/>
  <c r="X269" i="37"/>
  <c r="W269" i="37"/>
  <c r="V269" i="37"/>
  <c r="U269" i="37"/>
  <c r="T269" i="37"/>
  <c r="S269" i="37"/>
  <c r="Q269" i="37"/>
  <c r="O269" i="37"/>
  <c r="M269" i="37"/>
  <c r="K269" i="37"/>
  <c r="X268" i="37"/>
  <c r="W268" i="37"/>
  <c r="V268" i="37"/>
  <c r="U268" i="37"/>
  <c r="T268" i="37"/>
  <c r="S268" i="37"/>
  <c r="Q268" i="37"/>
  <c r="O268" i="37"/>
  <c r="M268" i="37"/>
  <c r="K268" i="37"/>
  <c r="X267" i="37"/>
  <c r="W267" i="37"/>
  <c r="V267" i="37"/>
  <c r="U267" i="37"/>
  <c r="T267" i="37"/>
  <c r="S267" i="37"/>
  <c r="Q267" i="37"/>
  <c r="O267" i="37"/>
  <c r="M267" i="37"/>
  <c r="K267" i="37"/>
  <c r="X266" i="37"/>
  <c r="W266" i="37"/>
  <c r="V266" i="37"/>
  <c r="U266" i="37"/>
  <c r="T266" i="37"/>
  <c r="S266" i="37"/>
  <c r="Q266" i="37"/>
  <c r="O266" i="37"/>
  <c r="M266" i="37"/>
  <c r="K266" i="37"/>
  <c r="X265" i="37"/>
  <c r="W265" i="37"/>
  <c r="V265" i="37"/>
  <c r="U265" i="37"/>
  <c r="T265" i="37"/>
  <c r="S265" i="37"/>
  <c r="Q265" i="37"/>
  <c r="O265" i="37"/>
  <c r="M265" i="37"/>
  <c r="K265" i="37"/>
  <c r="X264" i="37"/>
  <c r="W264" i="37"/>
  <c r="V264" i="37"/>
  <c r="U264" i="37"/>
  <c r="T264" i="37"/>
  <c r="S264" i="37"/>
  <c r="Q264" i="37"/>
  <c r="O264" i="37"/>
  <c r="M264" i="37"/>
  <c r="K264" i="37"/>
  <c r="X263" i="37"/>
  <c r="W263" i="37"/>
  <c r="V263" i="37"/>
  <c r="U263" i="37"/>
  <c r="T263" i="37"/>
  <c r="S263" i="37"/>
  <c r="Q263" i="37"/>
  <c r="O263" i="37"/>
  <c r="M263" i="37"/>
  <c r="K263" i="37"/>
  <c r="X262" i="37"/>
  <c r="W262" i="37"/>
  <c r="V262" i="37"/>
  <c r="U262" i="37"/>
  <c r="T262" i="37"/>
  <c r="S262" i="37"/>
  <c r="Q262" i="37"/>
  <c r="O262" i="37"/>
  <c r="M262" i="37"/>
  <c r="K262" i="37"/>
  <c r="X261" i="37"/>
  <c r="W261" i="37"/>
  <c r="V261" i="37"/>
  <c r="U261" i="37"/>
  <c r="T261" i="37"/>
  <c r="S261" i="37"/>
  <c r="Q261" i="37"/>
  <c r="O261" i="37"/>
  <c r="M261" i="37"/>
  <c r="K261" i="37"/>
  <c r="X260" i="37"/>
  <c r="W260" i="37"/>
  <c r="V260" i="37"/>
  <c r="U260" i="37"/>
  <c r="T260" i="37"/>
  <c r="S260" i="37"/>
  <c r="Q260" i="37"/>
  <c r="O260" i="37"/>
  <c r="M260" i="37"/>
  <c r="K260" i="37"/>
  <c r="X259" i="37"/>
  <c r="W259" i="37"/>
  <c r="V259" i="37"/>
  <c r="U259" i="37"/>
  <c r="T259" i="37"/>
  <c r="S259" i="37"/>
  <c r="Q259" i="37"/>
  <c r="O259" i="37"/>
  <c r="M259" i="37"/>
  <c r="K259" i="37"/>
  <c r="X258" i="37"/>
  <c r="W258" i="37"/>
  <c r="V258" i="37"/>
  <c r="U258" i="37"/>
  <c r="T258" i="37"/>
  <c r="S258" i="37"/>
  <c r="Q258" i="37"/>
  <c r="O258" i="37"/>
  <c r="M258" i="37"/>
  <c r="K258" i="37"/>
  <c r="X257" i="37"/>
  <c r="W257" i="37"/>
  <c r="V257" i="37"/>
  <c r="U257" i="37"/>
  <c r="T257" i="37"/>
  <c r="S257" i="37"/>
  <c r="Q257" i="37"/>
  <c r="O257" i="37"/>
  <c r="M257" i="37"/>
  <c r="K257" i="37"/>
  <c r="X256" i="37"/>
  <c r="W256" i="37"/>
  <c r="V256" i="37"/>
  <c r="U256" i="37"/>
  <c r="T256" i="37"/>
  <c r="S256" i="37"/>
  <c r="Q256" i="37"/>
  <c r="O256" i="37"/>
  <c r="M256" i="37"/>
  <c r="K256" i="37"/>
  <c r="X255" i="37"/>
  <c r="W255" i="37"/>
  <c r="V255" i="37"/>
  <c r="U255" i="37"/>
  <c r="T255" i="37"/>
  <c r="S255" i="37"/>
  <c r="Q255" i="37"/>
  <c r="O255" i="37"/>
  <c r="M255" i="37"/>
  <c r="K255" i="37"/>
  <c r="X254" i="37"/>
  <c r="W254" i="37"/>
  <c r="V254" i="37"/>
  <c r="U254" i="37"/>
  <c r="T254" i="37"/>
  <c r="S254" i="37"/>
  <c r="Q254" i="37"/>
  <c r="O254" i="37"/>
  <c r="M254" i="37"/>
  <c r="K254" i="37"/>
  <c r="X253" i="37"/>
  <c r="W253" i="37"/>
  <c r="V253" i="37"/>
  <c r="U253" i="37"/>
  <c r="T253" i="37"/>
  <c r="S253" i="37"/>
  <c r="Q253" i="37"/>
  <c r="O253" i="37"/>
  <c r="M253" i="37"/>
  <c r="K253" i="37"/>
  <c r="X252" i="37"/>
  <c r="W252" i="37"/>
  <c r="V252" i="37"/>
  <c r="U252" i="37"/>
  <c r="T252" i="37"/>
  <c r="S252" i="37"/>
  <c r="Q252" i="37"/>
  <c r="O252" i="37"/>
  <c r="M252" i="37"/>
  <c r="K252" i="37"/>
  <c r="X251" i="37"/>
  <c r="W251" i="37"/>
  <c r="V251" i="37"/>
  <c r="U251" i="37"/>
  <c r="T251" i="37"/>
  <c r="S251" i="37"/>
  <c r="Q251" i="37"/>
  <c r="O251" i="37"/>
  <c r="M251" i="37"/>
  <c r="K251" i="37"/>
  <c r="X250" i="37"/>
  <c r="W250" i="37"/>
  <c r="V250" i="37"/>
  <c r="U250" i="37"/>
  <c r="T250" i="37"/>
  <c r="S250" i="37"/>
  <c r="Q250" i="37"/>
  <c r="O250" i="37"/>
  <c r="M250" i="37"/>
  <c r="K250" i="37"/>
  <c r="X249" i="37"/>
  <c r="W249" i="37"/>
  <c r="V249" i="37"/>
  <c r="U249" i="37"/>
  <c r="T249" i="37"/>
  <c r="S249" i="37"/>
  <c r="Q249" i="37"/>
  <c r="O249" i="37"/>
  <c r="M249" i="37"/>
  <c r="K249" i="37"/>
  <c r="X248" i="37"/>
  <c r="W248" i="37"/>
  <c r="V248" i="37"/>
  <c r="U248" i="37"/>
  <c r="T248" i="37"/>
  <c r="S248" i="37"/>
  <c r="Q248" i="37"/>
  <c r="O248" i="37"/>
  <c r="M248" i="37"/>
  <c r="K248" i="37"/>
  <c r="X247" i="37"/>
  <c r="W247" i="37"/>
  <c r="V247" i="37"/>
  <c r="U247" i="37"/>
  <c r="T247" i="37"/>
  <c r="S247" i="37"/>
  <c r="Q247" i="37"/>
  <c r="O247" i="37"/>
  <c r="M247" i="37"/>
  <c r="K247" i="37"/>
  <c r="X246" i="37"/>
  <c r="W246" i="37"/>
  <c r="V246" i="37"/>
  <c r="U246" i="37"/>
  <c r="T246" i="37"/>
  <c r="S246" i="37"/>
  <c r="Q246" i="37"/>
  <c r="O246" i="37"/>
  <c r="M246" i="37"/>
  <c r="K246" i="37"/>
  <c r="X245" i="37"/>
  <c r="W245" i="37"/>
  <c r="V245" i="37"/>
  <c r="U245" i="37"/>
  <c r="T245" i="37"/>
  <c r="S245" i="37"/>
  <c r="Q245" i="37"/>
  <c r="O245" i="37"/>
  <c r="M245" i="37"/>
  <c r="K245" i="37"/>
  <c r="X244" i="37"/>
  <c r="W244" i="37"/>
  <c r="V244" i="37"/>
  <c r="U244" i="37"/>
  <c r="T244" i="37"/>
  <c r="S244" i="37"/>
  <c r="Q244" i="37"/>
  <c r="O244" i="37"/>
  <c r="M244" i="37"/>
  <c r="K244" i="37"/>
  <c r="X243" i="37"/>
  <c r="W243" i="37"/>
  <c r="V243" i="37"/>
  <c r="U243" i="37"/>
  <c r="T243" i="37"/>
  <c r="S243" i="37"/>
  <c r="Q243" i="37"/>
  <c r="O243" i="37"/>
  <c r="M243" i="37"/>
  <c r="K243" i="37"/>
  <c r="X242" i="37"/>
  <c r="W242" i="37"/>
  <c r="V242" i="37"/>
  <c r="U242" i="37"/>
  <c r="T242" i="37"/>
  <c r="S242" i="37"/>
  <c r="Q242" i="37"/>
  <c r="O242" i="37"/>
  <c r="M242" i="37"/>
  <c r="K242" i="37"/>
  <c r="X241" i="37"/>
  <c r="W241" i="37"/>
  <c r="V241" i="37"/>
  <c r="U241" i="37"/>
  <c r="T241" i="37"/>
  <c r="S241" i="37"/>
  <c r="Q241" i="37"/>
  <c r="O241" i="37"/>
  <c r="M241" i="37"/>
  <c r="K241" i="37"/>
  <c r="X240" i="37"/>
  <c r="W240" i="37"/>
  <c r="V240" i="37"/>
  <c r="U240" i="37"/>
  <c r="T240" i="37"/>
  <c r="S240" i="37"/>
  <c r="Q240" i="37"/>
  <c r="O240" i="37"/>
  <c r="M240" i="37"/>
  <c r="K240" i="37"/>
  <c r="X239" i="37"/>
  <c r="W239" i="37"/>
  <c r="V239" i="37"/>
  <c r="U239" i="37"/>
  <c r="T239" i="37"/>
  <c r="S239" i="37"/>
  <c r="Q239" i="37"/>
  <c r="O239" i="37"/>
  <c r="M239" i="37"/>
  <c r="K239" i="37"/>
  <c r="X238" i="37"/>
  <c r="W238" i="37"/>
  <c r="V238" i="37"/>
  <c r="U238" i="37"/>
  <c r="T238" i="37"/>
  <c r="S238" i="37"/>
  <c r="Q238" i="37"/>
  <c r="O238" i="37"/>
  <c r="M238" i="37"/>
  <c r="K238" i="37"/>
  <c r="X237" i="37"/>
  <c r="W237" i="37"/>
  <c r="V237" i="37"/>
  <c r="U237" i="37"/>
  <c r="T237" i="37"/>
  <c r="S237" i="37"/>
  <c r="Q237" i="37"/>
  <c r="O237" i="37"/>
  <c r="M237" i="37"/>
  <c r="K237" i="37"/>
  <c r="X236" i="37"/>
  <c r="W236" i="37"/>
  <c r="V236" i="37"/>
  <c r="U236" i="37"/>
  <c r="T236" i="37"/>
  <c r="S236" i="37"/>
  <c r="Q236" i="37"/>
  <c r="O236" i="37"/>
  <c r="M236" i="37"/>
  <c r="K236" i="37"/>
  <c r="X235" i="37"/>
  <c r="W235" i="37"/>
  <c r="V235" i="37"/>
  <c r="U235" i="37"/>
  <c r="T235" i="37"/>
  <c r="S235" i="37"/>
  <c r="Q235" i="37"/>
  <c r="O235" i="37"/>
  <c r="M235" i="37"/>
  <c r="K235" i="37"/>
  <c r="X234" i="37"/>
  <c r="W234" i="37"/>
  <c r="V234" i="37"/>
  <c r="U234" i="37"/>
  <c r="T234" i="37"/>
  <c r="S234" i="37"/>
  <c r="Q234" i="37"/>
  <c r="O234" i="37"/>
  <c r="M234" i="37"/>
  <c r="K234" i="37"/>
  <c r="X233" i="37"/>
  <c r="W233" i="37"/>
  <c r="V233" i="37"/>
  <c r="U233" i="37"/>
  <c r="T233" i="37"/>
  <c r="S233" i="37"/>
  <c r="Q233" i="37"/>
  <c r="O233" i="37"/>
  <c r="M233" i="37"/>
  <c r="K233" i="37"/>
  <c r="X232" i="37"/>
  <c r="W232" i="37"/>
  <c r="V232" i="37"/>
  <c r="U232" i="37"/>
  <c r="T232" i="37"/>
  <c r="S232" i="37"/>
  <c r="Q232" i="37"/>
  <c r="O232" i="37"/>
  <c r="M232" i="37"/>
  <c r="K232" i="37"/>
  <c r="X231" i="37"/>
  <c r="W231" i="37"/>
  <c r="V231" i="37"/>
  <c r="U231" i="37"/>
  <c r="T231" i="37"/>
  <c r="S231" i="37"/>
  <c r="Q231" i="37"/>
  <c r="O231" i="37"/>
  <c r="M231" i="37"/>
  <c r="K231" i="37"/>
  <c r="X230" i="37"/>
  <c r="W230" i="37"/>
  <c r="V230" i="37"/>
  <c r="U230" i="37"/>
  <c r="T230" i="37"/>
  <c r="S230" i="37"/>
  <c r="Q230" i="37"/>
  <c r="O230" i="37"/>
  <c r="M230" i="37"/>
  <c r="K230" i="37"/>
  <c r="X229" i="37"/>
  <c r="W229" i="37"/>
  <c r="V229" i="37"/>
  <c r="U229" i="37"/>
  <c r="T229" i="37"/>
  <c r="S229" i="37"/>
  <c r="Q229" i="37"/>
  <c r="O229" i="37"/>
  <c r="M229" i="37"/>
  <c r="K229" i="37"/>
  <c r="X228" i="37"/>
  <c r="W228" i="37"/>
  <c r="V228" i="37"/>
  <c r="U228" i="37"/>
  <c r="T228" i="37"/>
  <c r="S228" i="37"/>
  <c r="Q228" i="37"/>
  <c r="O228" i="37"/>
  <c r="M228" i="37"/>
  <c r="K228" i="37"/>
  <c r="X227" i="37"/>
  <c r="W227" i="37"/>
  <c r="V227" i="37"/>
  <c r="U227" i="37"/>
  <c r="T227" i="37"/>
  <c r="S227" i="37"/>
  <c r="Q227" i="37"/>
  <c r="O227" i="37"/>
  <c r="M227" i="37"/>
  <c r="K227" i="37"/>
  <c r="X226" i="37"/>
  <c r="W226" i="37"/>
  <c r="V226" i="37"/>
  <c r="U226" i="37"/>
  <c r="T226" i="37"/>
  <c r="S226" i="37"/>
  <c r="Q226" i="37"/>
  <c r="O226" i="37"/>
  <c r="M226" i="37"/>
  <c r="K226" i="37"/>
  <c r="X225" i="37"/>
  <c r="W225" i="37"/>
  <c r="V225" i="37"/>
  <c r="U225" i="37"/>
  <c r="T225" i="37"/>
  <c r="S225" i="37"/>
  <c r="Q225" i="37"/>
  <c r="O225" i="37"/>
  <c r="M225" i="37"/>
  <c r="K225" i="37"/>
  <c r="X224" i="37"/>
  <c r="W224" i="37"/>
  <c r="V224" i="37"/>
  <c r="U224" i="37"/>
  <c r="T224" i="37"/>
  <c r="S224" i="37"/>
  <c r="Q224" i="37"/>
  <c r="O224" i="37"/>
  <c r="M224" i="37"/>
  <c r="K224" i="37"/>
  <c r="X223" i="37"/>
  <c r="W223" i="37"/>
  <c r="V223" i="37"/>
  <c r="U223" i="37"/>
  <c r="T223" i="37"/>
  <c r="S223" i="37"/>
  <c r="Q223" i="37"/>
  <c r="O223" i="37"/>
  <c r="M223" i="37"/>
  <c r="K223" i="37"/>
  <c r="X222" i="37"/>
  <c r="W222" i="37"/>
  <c r="V222" i="37"/>
  <c r="U222" i="37"/>
  <c r="T222" i="37"/>
  <c r="S222" i="37"/>
  <c r="Q222" i="37"/>
  <c r="O222" i="37"/>
  <c r="M222" i="37"/>
  <c r="K222" i="37"/>
  <c r="X221" i="37"/>
  <c r="W221" i="37"/>
  <c r="V221" i="37"/>
  <c r="U221" i="37"/>
  <c r="T221" i="37"/>
  <c r="S221" i="37"/>
  <c r="Q221" i="37"/>
  <c r="O221" i="37"/>
  <c r="M221" i="37"/>
  <c r="K221" i="37"/>
  <c r="X220" i="37"/>
  <c r="W220" i="37"/>
  <c r="V220" i="37"/>
  <c r="U220" i="37"/>
  <c r="T220" i="37"/>
  <c r="S220" i="37"/>
  <c r="Q220" i="37"/>
  <c r="O220" i="37"/>
  <c r="M220" i="37"/>
  <c r="K220" i="37"/>
  <c r="X219" i="37"/>
  <c r="W219" i="37"/>
  <c r="V219" i="37"/>
  <c r="U219" i="37"/>
  <c r="T219" i="37"/>
  <c r="S219" i="37"/>
  <c r="Q219" i="37"/>
  <c r="O219" i="37"/>
  <c r="M219" i="37"/>
  <c r="K219" i="37"/>
  <c r="X218" i="37"/>
  <c r="W218" i="37"/>
  <c r="V218" i="37"/>
  <c r="U218" i="37"/>
  <c r="T218" i="37"/>
  <c r="S218" i="37"/>
  <c r="Q218" i="37"/>
  <c r="O218" i="37"/>
  <c r="M218" i="37"/>
  <c r="K218" i="37"/>
  <c r="X217" i="37"/>
  <c r="W217" i="37"/>
  <c r="V217" i="37"/>
  <c r="U217" i="37"/>
  <c r="T217" i="37"/>
  <c r="S217" i="37"/>
  <c r="Q217" i="37"/>
  <c r="O217" i="37"/>
  <c r="M217" i="37"/>
  <c r="K217" i="37"/>
  <c r="X216" i="37"/>
  <c r="W216" i="37"/>
  <c r="V216" i="37"/>
  <c r="U216" i="37"/>
  <c r="T216" i="37"/>
  <c r="S216" i="37"/>
  <c r="Q216" i="37"/>
  <c r="O216" i="37"/>
  <c r="M216" i="37"/>
  <c r="K216" i="37"/>
  <c r="X215" i="37"/>
  <c r="W215" i="37"/>
  <c r="V215" i="37"/>
  <c r="U215" i="37"/>
  <c r="T215" i="37"/>
  <c r="S215" i="37"/>
  <c r="Q215" i="37"/>
  <c r="O215" i="37"/>
  <c r="M215" i="37"/>
  <c r="K215" i="37"/>
  <c r="X214" i="37"/>
  <c r="W214" i="37"/>
  <c r="V214" i="37"/>
  <c r="U214" i="37"/>
  <c r="T214" i="37"/>
  <c r="S214" i="37"/>
  <c r="Q214" i="37"/>
  <c r="O214" i="37"/>
  <c r="M214" i="37"/>
  <c r="K214" i="37"/>
  <c r="X213" i="37"/>
  <c r="W213" i="37"/>
  <c r="V213" i="37"/>
  <c r="U213" i="37"/>
  <c r="T213" i="37"/>
  <c r="S213" i="37"/>
  <c r="Q213" i="37"/>
  <c r="O213" i="37"/>
  <c r="M213" i="37"/>
  <c r="K213" i="37"/>
  <c r="X212" i="37"/>
  <c r="W212" i="37"/>
  <c r="V212" i="37"/>
  <c r="U212" i="37"/>
  <c r="T212" i="37"/>
  <c r="S212" i="37"/>
  <c r="Q212" i="37"/>
  <c r="O212" i="37"/>
  <c r="M212" i="37"/>
  <c r="K212" i="37"/>
  <c r="X211" i="37"/>
  <c r="W211" i="37"/>
  <c r="V211" i="37"/>
  <c r="U211" i="37"/>
  <c r="T211" i="37"/>
  <c r="S211" i="37"/>
  <c r="Q211" i="37"/>
  <c r="O211" i="37"/>
  <c r="M211" i="37"/>
  <c r="K211" i="37"/>
  <c r="X210" i="37"/>
  <c r="W210" i="37"/>
  <c r="V210" i="37"/>
  <c r="U210" i="37"/>
  <c r="T210" i="37"/>
  <c r="S210" i="37"/>
  <c r="Q210" i="37"/>
  <c r="O210" i="37"/>
  <c r="M210" i="37"/>
  <c r="K210" i="37"/>
  <c r="X209" i="37"/>
  <c r="W209" i="37"/>
  <c r="V209" i="37"/>
  <c r="U209" i="37"/>
  <c r="T209" i="37"/>
  <c r="S209" i="37"/>
  <c r="Q209" i="37"/>
  <c r="O209" i="37"/>
  <c r="M209" i="37"/>
  <c r="K209" i="37"/>
  <c r="X208" i="37"/>
  <c r="W208" i="37"/>
  <c r="V208" i="37"/>
  <c r="U208" i="37"/>
  <c r="T208" i="37"/>
  <c r="S208" i="37"/>
  <c r="Q208" i="37"/>
  <c r="O208" i="37"/>
  <c r="M208" i="37"/>
  <c r="K208" i="37"/>
  <c r="X207" i="37"/>
  <c r="W207" i="37"/>
  <c r="V207" i="37"/>
  <c r="U207" i="37"/>
  <c r="T207" i="37"/>
  <c r="S207" i="37"/>
  <c r="Q207" i="37"/>
  <c r="O207" i="37"/>
  <c r="M207" i="37"/>
  <c r="K207" i="37"/>
  <c r="X206" i="37"/>
  <c r="W206" i="37"/>
  <c r="V206" i="37"/>
  <c r="U206" i="37"/>
  <c r="T206" i="37"/>
  <c r="S206" i="37"/>
  <c r="Q206" i="37"/>
  <c r="O206" i="37"/>
  <c r="M206" i="37"/>
  <c r="K206" i="37"/>
  <c r="X205" i="37"/>
  <c r="W205" i="37"/>
  <c r="V205" i="37"/>
  <c r="U205" i="37"/>
  <c r="T205" i="37"/>
  <c r="S205" i="37"/>
  <c r="Q205" i="37"/>
  <c r="O205" i="37"/>
  <c r="M205" i="37"/>
  <c r="K205" i="37"/>
  <c r="X204" i="37"/>
  <c r="W204" i="37"/>
  <c r="V204" i="37"/>
  <c r="U204" i="37"/>
  <c r="T204" i="37"/>
  <c r="S204" i="37"/>
  <c r="Q204" i="37"/>
  <c r="O204" i="37"/>
  <c r="M204" i="37"/>
  <c r="K204" i="37"/>
  <c r="X203" i="37"/>
  <c r="W203" i="37"/>
  <c r="V203" i="37"/>
  <c r="U203" i="37"/>
  <c r="T203" i="37"/>
  <c r="S203" i="37"/>
  <c r="Q203" i="37"/>
  <c r="O203" i="37"/>
  <c r="M203" i="37"/>
  <c r="K203" i="37"/>
  <c r="X202" i="37"/>
  <c r="W202" i="37"/>
  <c r="V202" i="37"/>
  <c r="U202" i="37"/>
  <c r="T202" i="37"/>
  <c r="S202" i="37"/>
  <c r="Q202" i="37"/>
  <c r="O202" i="37"/>
  <c r="M202" i="37"/>
  <c r="K202" i="37"/>
  <c r="X201" i="37"/>
  <c r="W201" i="37"/>
  <c r="V201" i="37"/>
  <c r="U201" i="37"/>
  <c r="T201" i="37"/>
  <c r="S201" i="37"/>
  <c r="Q201" i="37"/>
  <c r="O201" i="37"/>
  <c r="M201" i="37"/>
  <c r="K201" i="37"/>
  <c r="X200" i="37"/>
  <c r="W200" i="37"/>
  <c r="V200" i="37"/>
  <c r="U200" i="37"/>
  <c r="T200" i="37"/>
  <c r="S200" i="37"/>
  <c r="Q200" i="37"/>
  <c r="O200" i="37"/>
  <c r="M200" i="37"/>
  <c r="K200" i="37"/>
  <c r="X199" i="37"/>
  <c r="W199" i="37"/>
  <c r="V199" i="37"/>
  <c r="U199" i="37"/>
  <c r="T199" i="37"/>
  <c r="S199" i="37"/>
  <c r="Q199" i="37"/>
  <c r="O199" i="37"/>
  <c r="M199" i="37"/>
  <c r="K199" i="37"/>
  <c r="X198" i="37"/>
  <c r="W198" i="37"/>
  <c r="V198" i="37"/>
  <c r="U198" i="37"/>
  <c r="T198" i="37"/>
  <c r="S198" i="37"/>
  <c r="Q198" i="37"/>
  <c r="O198" i="37"/>
  <c r="M198" i="37"/>
  <c r="K198" i="37"/>
  <c r="X197" i="37"/>
  <c r="W197" i="37"/>
  <c r="V197" i="37"/>
  <c r="U197" i="37"/>
  <c r="T197" i="37"/>
  <c r="S197" i="37"/>
  <c r="Q197" i="37"/>
  <c r="O197" i="37"/>
  <c r="M197" i="37"/>
  <c r="K197" i="37"/>
  <c r="X196" i="37"/>
  <c r="W196" i="37"/>
  <c r="V196" i="37"/>
  <c r="U196" i="37"/>
  <c r="T196" i="37"/>
  <c r="S196" i="37"/>
  <c r="Q196" i="37"/>
  <c r="O196" i="37"/>
  <c r="M196" i="37"/>
  <c r="K196" i="37"/>
  <c r="X195" i="37"/>
  <c r="W195" i="37"/>
  <c r="V195" i="37"/>
  <c r="U195" i="37"/>
  <c r="T195" i="37"/>
  <c r="S195" i="37"/>
  <c r="Q195" i="37"/>
  <c r="O195" i="37"/>
  <c r="M195" i="37"/>
  <c r="K195" i="37"/>
  <c r="X194" i="37"/>
  <c r="W194" i="37"/>
  <c r="V194" i="37"/>
  <c r="U194" i="37"/>
  <c r="T194" i="37"/>
  <c r="S194" i="37"/>
  <c r="Q194" i="37"/>
  <c r="O194" i="37"/>
  <c r="M194" i="37"/>
  <c r="K194" i="37"/>
  <c r="X193" i="37"/>
  <c r="W193" i="37"/>
  <c r="V193" i="37"/>
  <c r="U193" i="37"/>
  <c r="T193" i="37"/>
  <c r="S193" i="37"/>
  <c r="Q193" i="37"/>
  <c r="O193" i="37"/>
  <c r="M193" i="37"/>
  <c r="K193" i="37"/>
  <c r="X192" i="37"/>
  <c r="W192" i="37"/>
  <c r="V192" i="37"/>
  <c r="U192" i="37"/>
  <c r="T192" i="37"/>
  <c r="S192" i="37"/>
  <c r="Q192" i="37"/>
  <c r="O192" i="37"/>
  <c r="M192" i="37"/>
  <c r="K192" i="37"/>
  <c r="X191" i="37"/>
  <c r="W191" i="37"/>
  <c r="V191" i="37"/>
  <c r="U191" i="37"/>
  <c r="T191" i="37"/>
  <c r="S191" i="37"/>
  <c r="Q191" i="37"/>
  <c r="O191" i="37"/>
  <c r="M191" i="37"/>
  <c r="K191" i="37"/>
  <c r="X190" i="37"/>
  <c r="W190" i="37"/>
  <c r="V190" i="37"/>
  <c r="U190" i="37"/>
  <c r="T190" i="37"/>
  <c r="S190" i="37"/>
  <c r="Q190" i="37"/>
  <c r="O190" i="37"/>
  <c r="M190" i="37"/>
  <c r="K190" i="37"/>
  <c r="X189" i="37"/>
  <c r="W189" i="37"/>
  <c r="V189" i="37"/>
  <c r="U189" i="37"/>
  <c r="T189" i="37"/>
  <c r="S189" i="37"/>
  <c r="Q189" i="37"/>
  <c r="O189" i="37"/>
  <c r="M189" i="37"/>
  <c r="K189" i="37"/>
  <c r="X188" i="37"/>
  <c r="W188" i="37"/>
  <c r="V188" i="37"/>
  <c r="U188" i="37"/>
  <c r="T188" i="37"/>
  <c r="S188" i="37"/>
  <c r="Q188" i="37"/>
  <c r="O188" i="37"/>
  <c r="M188" i="37"/>
  <c r="K188" i="37"/>
  <c r="X187" i="37"/>
  <c r="W187" i="37"/>
  <c r="V187" i="37"/>
  <c r="U187" i="37"/>
  <c r="T187" i="37"/>
  <c r="S187" i="37"/>
  <c r="Q187" i="37"/>
  <c r="O187" i="37"/>
  <c r="M187" i="37"/>
  <c r="K187" i="37"/>
  <c r="X186" i="37"/>
  <c r="W186" i="37"/>
  <c r="V186" i="37"/>
  <c r="U186" i="37"/>
  <c r="T186" i="37"/>
  <c r="S186" i="37"/>
  <c r="Q186" i="37"/>
  <c r="O186" i="37"/>
  <c r="M186" i="37"/>
  <c r="K186" i="37"/>
  <c r="X185" i="37"/>
  <c r="W185" i="37"/>
  <c r="V185" i="37"/>
  <c r="U185" i="37"/>
  <c r="T185" i="37"/>
  <c r="S185" i="37"/>
  <c r="Q185" i="37"/>
  <c r="O185" i="37"/>
  <c r="M185" i="37"/>
  <c r="K185" i="37"/>
  <c r="X184" i="37"/>
  <c r="W184" i="37"/>
  <c r="V184" i="37"/>
  <c r="U184" i="37"/>
  <c r="T184" i="37"/>
  <c r="S184" i="37"/>
  <c r="Q184" i="37"/>
  <c r="O184" i="37"/>
  <c r="M184" i="37"/>
  <c r="K184" i="37"/>
  <c r="X183" i="37"/>
  <c r="W183" i="37"/>
  <c r="V183" i="37"/>
  <c r="U183" i="37"/>
  <c r="T183" i="37"/>
  <c r="S183" i="37"/>
  <c r="Q183" i="37"/>
  <c r="O183" i="37"/>
  <c r="M183" i="37"/>
  <c r="K183" i="37"/>
  <c r="X182" i="37"/>
  <c r="W182" i="37"/>
  <c r="V182" i="37"/>
  <c r="U182" i="37"/>
  <c r="T182" i="37"/>
  <c r="S182" i="37"/>
  <c r="Q182" i="37"/>
  <c r="O182" i="37"/>
  <c r="M182" i="37"/>
  <c r="K182" i="37"/>
  <c r="X181" i="37"/>
  <c r="W181" i="37"/>
  <c r="V181" i="37"/>
  <c r="U181" i="37"/>
  <c r="T181" i="37"/>
  <c r="S181" i="37"/>
  <c r="Q181" i="37"/>
  <c r="O181" i="37"/>
  <c r="M181" i="37"/>
  <c r="K181" i="37"/>
  <c r="X180" i="37"/>
  <c r="W180" i="37"/>
  <c r="V180" i="37"/>
  <c r="U180" i="37"/>
  <c r="T180" i="37"/>
  <c r="S180" i="37"/>
  <c r="Q180" i="37"/>
  <c r="O180" i="37"/>
  <c r="M180" i="37"/>
  <c r="K180" i="37"/>
  <c r="X179" i="37"/>
  <c r="W179" i="37"/>
  <c r="V179" i="37"/>
  <c r="U179" i="37"/>
  <c r="T179" i="37"/>
  <c r="S179" i="37"/>
  <c r="Q179" i="37"/>
  <c r="O179" i="37"/>
  <c r="M179" i="37"/>
  <c r="K179" i="37"/>
  <c r="X178" i="37"/>
  <c r="W178" i="37"/>
  <c r="V178" i="37"/>
  <c r="U178" i="37"/>
  <c r="T178" i="37"/>
  <c r="S178" i="37"/>
  <c r="Q178" i="37"/>
  <c r="O178" i="37"/>
  <c r="M178" i="37"/>
  <c r="K178" i="37"/>
  <c r="X177" i="37"/>
  <c r="W177" i="37"/>
  <c r="V177" i="37"/>
  <c r="U177" i="37"/>
  <c r="T177" i="37"/>
  <c r="S177" i="37"/>
  <c r="Q177" i="37"/>
  <c r="O177" i="37"/>
  <c r="M177" i="37"/>
  <c r="K177" i="37"/>
  <c r="X176" i="37"/>
  <c r="W176" i="37"/>
  <c r="V176" i="37"/>
  <c r="U176" i="37"/>
  <c r="T176" i="37"/>
  <c r="S176" i="37"/>
  <c r="Q176" i="37"/>
  <c r="O176" i="37"/>
  <c r="M176" i="37"/>
  <c r="K176" i="37"/>
  <c r="X175" i="37"/>
  <c r="W175" i="37"/>
  <c r="V175" i="37"/>
  <c r="U175" i="37"/>
  <c r="T175" i="37"/>
  <c r="S175" i="37"/>
  <c r="Q175" i="37"/>
  <c r="O175" i="37"/>
  <c r="M175" i="37"/>
  <c r="K175" i="37"/>
  <c r="X174" i="37"/>
  <c r="W174" i="37"/>
  <c r="V174" i="37"/>
  <c r="U174" i="37"/>
  <c r="T174" i="37"/>
  <c r="S174" i="37"/>
  <c r="Q174" i="37"/>
  <c r="O174" i="37"/>
  <c r="M174" i="37"/>
  <c r="K174" i="37"/>
  <c r="X173" i="37"/>
  <c r="W173" i="37"/>
  <c r="V173" i="37"/>
  <c r="U173" i="37"/>
  <c r="T173" i="37"/>
  <c r="S173" i="37"/>
  <c r="Q173" i="37"/>
  <c r="O173" i="37"/>
  <c r="M173" i="37"/>
  <c r="K173" i="37"/>
  <c r="X172" i="37"/>
  <c r="W172" i="37"/>
  <c r="V172" i="37"/>
  <c r="U172" i="37"/>
  <c r="T172" i="37"/>
  <c r="S172" i="37"/>
  <c r="Q172" i="37"/>
  <c r="O172" i="37"/>
  <c r="M172" i="37"/>
  <c r="K172" i="37"/>
  <c r="X171" i="37"/>
  <c r="W171" i="37"/>
  <c r="V171" i="37"/>
  <c r="U171" i="37"/>
  <c r="T171" i="37"/>
  <c r="S171" i="37"/>
  <c r="Q171" i="37"/>
  <c r="O171" i="37"/>
  <c r="M171" i="37"/>
  <c r="K171" i="37"/>
  <c r="X170" i="37"/>
  <c r="W170" i="37"/>
  <c r="V170" i="37"/>
  <c r="U170" i="37"/>
  <c r="T170" i="37"/>
  <c r="S170" i="37"/>
  <c r="Q170" i="37"/>
  <c r="O170" i="37"/>
  <c r="M170" i="37"/>
  <c r="K170" i="37"/>
  <c r="X169" i="37"/>
  <c r="W169" i="37"/>
  <c r="V169" i="37"/>
  <c r="U169" i="37"/>
  <c r="T169" i="37"/>
  <c r="S169" i="37"/>
  <c r="Q169" i="37"/>
  <c r="O169" i="37"/>
  <c r="M169" i="37"/>
  <c r="K169" i="37"/>
  <c r="X168" i="37"/>
  <c r="W168" i="37"/>
  <c r="V168" i="37"/>
  <c r="U168" i="37"/>
  <c r="T168" i="37"/>
  <c r="S168" i="37"/>
  <c r="Q168" i="37"/>
  <c r="O168" i="37"/>
  <c r="M168" i="37"/>
  <c r="K168" i="37"/>
  <c r="X167" i="37"/>
  <c r="W167" i="37"/>
  <c r="V167" i="37"/>
  <c r="U167" i="37"/>
  <c r="T167" i="37"/>
  <c r="S167" i="37"/>
  <c r="Q167" i="37"/>
  <c r="O167" i="37"/>
  <c r="M167" i="37"/>
  <c r="K167" i="37"/>
  <c r="X166" i="37"/>
  <c r="W166" i="37"/>
  <c r="V166" i="37"/>
  <c r="U166" i="37"/>
  <c r="T166" i="37"/>
  <c r="S166" i="37"/>
  <c r="Q166" i="37"/>
  <c r="O166" i="37"/>
  <c r="M166" i="37"/>
  <c r="K166" i="37"/>
  <c r="X165" i="37"/>
  <c r="W165" i="37"/>
  <c r="V165" i="37"/>
  <c r="U165" i="37"/>
  <c r="T165" i="37"/>
  <c r="S165" i="37"/>
  <c r="Q165" i="37"/>
  <c r="O165" i="37"/>
  <c r="M165" i="37"/>
  <c r="K165" i="37"/>
  <c r="X164" i="37"/>
  <c r="W164" i="37"/>
  <c r="V164" i="37"/>
  <c r="U164" i="37"/>
  <c r="T164" i="37"/>
  <c r="S164" i="37"/>
  <c r="Q164" i="37"/>
  <c r="O164" i="37"/>
  <c r="M164" i="37"/>
  <c r="K164" i="37"/>
  <c r="X163" i="37"/>
  <c r="W163" i="37"/>
  <c r="V163" i="37"/>
  <c r="U163" i="37"/>
  <c r="T163" i="37"/>
  <c r="S163" i="37"/>
  <c r="Q163" i="37"/>
  <c r="O163" i="37"/>
  <c r="M163" i="37"/>
  <c r="K163" i="37"/>
  <c r="X162" i="37"/>
  <c r="W162" i="37"/>
  <c r="V162" i="37"/>
  <c r="U162" i="37"/>
  <c r="T162" i="37"/>
  <c r="S162" i="37"/>
  <c r="Q162" i="37"/>
  <c r="O162" i="37"/>
  <c r="M162" i="37"/>
  <c r="K162" i="37"/>
  <c r="X161" i="37"/>
  <c r="W161" i="37"/>
  <c r="V161" i="37"/>
  <c r="U161" i="37"/>
  <c r="T161" i="37"/>
  <c r="S161" i="37"/>
  <c r="Q161" i="37"/>
  <c r="O161" i="37"/>
  <c r="M161" i="37"/>
  <c r="K161" i="37"/>
  <c r="X160" i="37"/>
  <c r="W160" i="37"/>
  <c r="V160" i="37"/>
  <c r="U160" i="37"/>
  <c r="T160" i="37"/>
  <c r="S160" i="37"/>
  <c r="Q160" i="37"/>
  <c r="O160" i="37"/>
  <c r="M160" i="37"/>
  <c r="K160" i="37"/>
  <c r="X159" i="37"/>
  <c r="W159" i="37"/>
  <c r="V159" i="37"/>
  <c r="U159" i="37"/>
  <c r="T159" i="37"/>
  <c r="S159" i="37"/>
  <c r="Q159" i="37"/>
  <c r="O159" i="37"/>
  <c r="M159" i="37"/>
  <c r="K159" i="37"/>
  <c r="X158" i="37"/>
  <c r="W158" i="37"/>
  <c r="V158" i="37"/>
  <c r="U158" i="37"/>
  <c r="T158" i="37"/>
  <c r="S158" i="37"/>
  <c r="Q158" i="37"/>
  <c r="O158" i="37"/>
  <c r="M158" i="37"/>
  <c r="K158" i="37"/>
  <c r="X157" i="37"/>
  <c r="W157" i="37"/>
  <c r="V157" i="37"/>
  <c r="U157" i="37"/>
  <c r="T157" i="37"/>
  <c r="S157" i="37"/>
  <c r="Q157" i="37"/>
  <c r="O157" i="37"/>
  <c r="M157" i="37"/>
  <c r="K157" i="37"/>
  <c r="X156" i="37"/>
  <c r="W156" i="37"/>
  <c r="V156" i="37"/>
  <c r="U156" i="37"/>
  <c r="T156" i="37"/>
  <c r="S156" i="37"/>
  <c r="Q156" i="37"/>
  <c r="O156" i="37"/>
  <c r="M156" i="37"/>
  <c r="K156" i="37"/>
  <c r="X155" i="37"/>
  <c r="W155" i="37"/>
  <c r="V155" i="37"/>
  <c r="U155" i="37"/>
  <c r="T155" i="37"/>
  <c r="S155" i="37"/>
  <c r="Q155" i="37"/>
  <c r="O155" i="37"/>
  <c r="M155" i="37"/>
  <c r="K155" i="37"/>
  <c r="X154" i="37"/>
  <c r="W154" i="37"/>
  <c r="V154" i="37"/>
  <c r="U154" i="37"/>
  <c r="T154" i="37"/>
  <c r="S154" i="37"/>
  <c r="Q154" i="37"/>
  <c r="O154" i="37"/>
  <c r="M154" i="37"/>
  <c r="K154" i="37"/>
  <c r="X153" i="37"/>
  <c r="W153" i="37"/>
  <c r="V153" i="37"/>
  <c r="U153" i="37"/>
  <c r="T153" i="37"/>
  <c r="S153" i="37"/>
  <c r="Q153" i="37"/>
  <c r="O153" i="37"/>
  <c r="M153" i="37"/>
  <c r="K153" i="37"/>
  <c r="X152" i="37"/>
  <c r="W152" i="37"/>
  <c r="V152" i="37"/>
  <c r="U152" i="37"/>
  <c r="T152" i="37"/>
  <c r="S152" i="37"/>
  <c r="Q152" i="37"/>
  <c r="O152" i="37"/>
  <c r="M152" i="37"/>
  <c r="K152" i="37"/>
  <c r="X151" i="37"/>
  <c r="W151" i="37"/>
  <c r="V151" i="37"/>
  <c r="U151" i="37"/>
  <c r="T151" i="37"/>
  <c r="S151" i="37"/>
  <c r="Q151" i="37"/>
  <c r="O151" i="37"/>
  <c r="M151" i="37"/>
  <c r="K151" i="37"/>
  <c r="X150" i="37"/>
  <c r="W150" i="37"/>
  <c r="V150" i="37"/>
  <c r="U150" i="37"/>
  <c r="T150" i="37"/>
  <c r="S150" i="37"/>
  <c r="Q150" i="37"/>
  <c r="O150" i="37"/>
  <c r="M150" i="37"/>
  <c r="K150" i="37"/>
  <c r="X149" i="37"/>
  <c r="W149" i="37"/>
  <c r="V149" i="37"/>
  <c r="U149" i="37"/>
  <c r="T149" i="37"/>
  <c r="S149" i="37"/>
  <c r="Q149" i="37"/>
  <c r="O149" i="37"/>
  <c r="M149" i="37"/>
  <c r="K149" i="37"/>
  <c r="X148" i="37"/>
  <c r="W148" i="37"/>
  <c r="V148" i="37"/>
  <c r="U148" i="37"/>
  <c r="T148" i="37"/>
  <c r="S148" i="37"/>
  <c r="Q148" i="37"/>
  <c r="O148" i="37"/>
  <c r="M148" i="37"/>
  <c r="K148" i="37"/>
  <c r="X147" i="37"/>
  <c r="W147" i="37"/>
  <c r="V147" i="37"/>
  <c r="U147" i="37"/>
  <c r="T147" i="37"/>
  <c r="S147" i="37"/>
  <c r="Q147" i="37"/>
  <c r="O147" i="37"/>
  <c r="M147" i="37"/>
  <c r="K147" i="37"/>
  <c r="X146" i="37"/>
  <c r="W146" i="37"/>
  <c r="V146" i="37"/>
  <c r="U146" i="37"/>
  <c r="T146" i="37"/>
  <c r="S146" i="37"/>
  <c r="Q146" i="37"/>
  <c r="O146" i="37"/>
  <c r="M146" i="37"/>
  <c r="K146" i="37"/>
  <c r="X145" i="37"/>
  <c r="W145" i="37"/>
  <c r="V145" i="37"/>
  <c r="U145" i="37"/>
  <c r="T145" i="37"/>
  <c r="S145" i="37"/>
  <c r="Q145" i="37"/>
  <c r="O145" i="37"/>
  <c r="M145" i="37"/>
  <c r="K145" i="37"/>
  <c r="X144" i="37"/>
  <c r="W144" i="37"/>
  <c r="V144" i="37"/>
  <c r="U144" i="37"/>
  <c r="T144" i="37"/>
  <c r="S144" i="37"/>
  <c r="Q144" i="37"/>
  <c r="O144" i="37"/>
  <c r="M144" i="37"/>
  <c r="K144" i="37"/>
  <c r="X143" i="37"/>
  <c r="W143" i="37"/>
  <c r="V143" i="37"/>
  <c r="U143" i="37"/>
  <c r="T143" i="37"/>
  <c r="S143" i="37"/>
  <c r="Q143" i="37"/>
  <c r="O143" i="37"/>
  <c r="M143" i="37"/>
  <c r="K143" i="37"/>
  <c r="X142" i="37"/>
  <c r="W142" i="37"/>
  <c r="V142" i="37"/>
  <c r="U142" i="37"/>
  <c r="T142" i="37"/>
  <c r="S142" i="37"/>
  <c r="Q142" i="37"/>
  <c r="O142" i="37"/>
  <c r="M142" i="37"/>
  <c r="K142" i="37"/>
  <c r="X141" i="37"/>
  <c r="W141" i="37"/>
  <c r="V141" i="37"/>
  <c r="U141" i="37"/>
  <c r="T141" i="37"/>
  <c r="S141" i="37"/>
  <c r="Q141" i="37"/>
  <c r="O141" i="37"/>
  <c r="M141" i="37"/>
  <c r="K141" i="37"/>
  <c r="X140" i="37"/>
  <c r="W140" i="37"/>
  <c r="V140" i="37"/>
  <c r="U140" i="37"/>
  <c r="T140" i="37"/>
  <c r="S140" i="37"/>
  <c r="Q140" i="37"/>
  <c r="O140" i="37"/>
  <c r="M140" i="37"/>
  <c r="K140" i="37"/>
  <c r="X139" i="37"/>
  <c r="W139" i="37"/>
  <c r="V139" i="37"/>
  <c r="U139" i="37"/>
  <c r="T139" i="37"/>
  <c r="S139" i="37"/>
  <c r="Q139" i="37"/>
  <c r="O139" i="37"/>
  <c r="M139" i="37"/>
  <c r="K139" i="37"/>
  <c r="X138" i="37"/>
  <c r="W138" i="37"/>
  <c r="V138" i="37"/>
  <c r="U138" i="37"/>
  <c r="T138" i="37"/>
  <c r="S138" i="37"/>
  <c r="Q138" i="37"/>
  <c r="O138" i="37"/>
  <c r="M138" i="37"/>
  <c r="K138" i="37"/>
  <c r="X137" i="37"/>
  <c r="W137" i="37"/>
  <c r="V137" i="37"/>
  <c r="U137" i="37"/>
  <c r="T137" i="37"/>
  <c r="S137" i="37"/>
  <c r="Q137" i="37"/>
  <c r="O137" i="37"/>
  <c r="M137" i="37"/>
  <c r="K137" i="37"/>
  <c r="X136" i="37"/>
  <c r="W136" i="37"/>
  <c r="V136" i="37"/>
  <c r="U136" i="37"/>
  <c r="T136" i="37"/>
  <c r="S136" i="37"/>
  <c r="Q136" i="37"/>
  <c r="O136" i="37"/>
  <c r="M136" i="37"/>
  <c r="K136" i="37"/>
  <c r="X135" i="37"/>
  <c r="W135" i="37"/>
  <c r="V135" i="37"/>
  <c r="U135" i="37"/>
  <c r="T135" i="37"/>
  <c r="S135" i="37"/>
  <c r="Q135" i="37"/>
  <c r="O135" i="37"/>
  <c r="M135" i="37"/>
  <c r="K135" i="37"/>
  <c r="X134" i="37"/>
  <c r="W134" i="37"/>
  <c r="V134" i="37"/>
  <c r="U134" i="37"/>
  <c r="T134" i="37"/>
  <c r="S134" i="37"/>
  <c r="Q134" i="37"/>
  <c r="O134" i="37"/>
  <c r="M134" i="37"/>
  <c r="K134" i="37"/>
  <c r="X133" i="37"/>
  <c r="W133" i="37"/>
  <c r="V133" i="37"/>
  <c r="U133" i="37"/>
  <c r="T133" i="37"/>
  <c r="S133" i="37"/>
  <c r="Q133" i="37"/>
  <c r="O133" i="37"/>
  <c r="M133" i="37"/>
  <c r="K133" i="37"/>
  <c r="X132" i="37"/>
  <c r="W132" i="37"/>
  <c r="V132" i="37"/>
  <c r="U132" i="37"/>
  <c r="T132" i="37"/>
  <c r="S132" i="37"/>
  <c r="Q132" i="37"/>
  <c r="O132" i="37"/>
  <c r="M132" i="37"/>
  <c r="K132" i="37"/>
  <c r="X131" i="37"/>
  <c r="W131" i="37"/>
  <c r="V131" i="37"/>
  <c r="U131" i="37"/>
  <c r="T131" i="37"/>
  <c r="S131" i="37"/>
  <c r="Q131" i="37"/>
  <c r="O131" i="37"/>
  <c r="M131" i="37"/>
  <c r="K131" i="37"/>
  <c r="X130" i="37"/>
  <c r="W130" i="37"/>
  <c r="V130" i="37"/>
  <c r="U130" i="37"/>
  <c r="T130" i="37"/>
  <c r="S130" i="37"/>
  <c r="Q130" i="37"/>
  <c r="O130" i="37"/>
  <c r="M130" i="37"/>
  <c r="K130" i="37"/>
  <c r="X129" i="37"/>
  <c r="W129" i="37"/>
  <c r="V129" i="37"/>
  <c r="U129" i="37"/>
  <c r="T129" i="37"/>
  <c r="S129" i="37"/>
  <c r="Q129" i="37"/>
  <c r="O129" i="37"/>
  <c r="M129" i="37"/>
  <c r="K129" i="37"/>
  <c r="X128" i="37"/>
  <c r="W128" i="37"/>
  <c r="V128" i="37"/>
  <c r="U128" i="37"/>
  <c r="T128" i="37"/>
  <c r="S128" i="37"/>
  <c r="Q128" i="37"/>
  <c r="O128" i="37"/>
  <c r="M128" i="37"/>
  <c r="K128" i="37"/>
  <c r="X127" i="37"/>
  <c r="W127" i="37"/>
  <c r="V127" i="37"/>
  <c r="U127" i="37"/>
  <c r="T127" i="37"/>
  <c r="S127" i="37"/>
  <c r="Q127" i="37"/>
  <c r="O127" i="37"/>
  <c r="M127" i="37"/>
  <c r="K127" i="37"/>
  <c r="X126" i="37"/>
  <c r="W126" i="37"/>
  <c r="V126" i="37"/>
  <c r="U126" i="37"/>
  <c r="T126" i="37"/>
  <c r="S126" i="37"/>
  <c r="Q126" i="37"/>
  <c r="O126" i="37"/>
  <c r="M126" i="37"/>
  <c r="K126" i="37"/>
  <c r="X125" i="37"/>
  <c r="W125" i="37"/>
  <c r="V125" i="37"/>
  <c r="U125" i="37"/>
  <c r="T125" i="37"/>
  <c r="S125" i="37"/>
  <c r="Q125" i="37"/>
  <c r="O125" i="37"/>
  <c r="M125" i="37"/>
  <c r="K125" i="37"/>
  <c r="X124" i="37"/>
  <c r="W124" i="37"/>
  <c r="V124" i="37"/>
  <c r="U124" i="37"/>
  <c r="T124" i="37"/>
  <c r="S124" i="37"/>
  <c r="Q124" i="37"/>
  <c r="O124" i="37"/>
  <c r="M124" i="37"/>
  <c r="K124" i="37"/>
  <c r="X123" i="37"/>
  <c r="W123" i="37"/>
  <c r="V123" i="37"/>
  <c r="U123" i="37"/>
  <c r="T123" i="37"/>
  <c r="S123" i="37"/>
  <c r="Q123" i="37"/>
  <c r="O123" i="37"/>
  <c r="M123" i="37"/>
  <c r="K123" i="37"/>
  <c r="X122" i="37"/>
  <c r="W122" i="37"/>
  <c r="V122" i="37"/>
  <c r="U122" i="37"/>
  <c r="T122" i="37"/>
  <c r="S122" i="37"/>
  <c r="Q122" i="37"/>
  <c r="O122" i="37"/>
  <c r="M122" i="37"/>
  <c r="K122" i="37"/>
  <c r="X121" i="37"/>
  <c r="W121" i="37"/>
  <c r="V121" i="37"/>
  <c r="U121" i="37"/>
  <c r="T121" i="37"/>
  <c r="S121" i="37"/>
  <c r="Q121" i="37"/>
  <c r="O121" i="37"/>
  <c r="M121" i="37"/>
  <c r="K121" i="37"/>
  <c r="X120" i="37"/>
  <c r="W120" i="37"/>
  <c r="V120" i="37"/>
  <c r="U120" i="37"/>
  <c r="T120" i="37"/>
  <c r="S120" i="37"/>
  <c r="Q120" i="37"/>
  <c r="O120" i="37"/>
  <c r="M120" i="37"/>
  <c r="K120" i="37"/>
  <c r="X119" i="37"/>
  <c r="W119" i="37"/>
  <c r="V119" i="37"/>
  <c r="U119" i="37"/>
  <c r="T119" i="37"/>
  <c r="S119" i="37"/>
  <c r="Q119" i="37"/>
  <c r="O119" i="37"/>
  <c r="M119" i="37"/>
  <c r="K119" i="37"/>
  <c r="X118" i="37"/>
  <c r="W118" i="37"/>
  <c r="V118" i="37"/>
  <c r="U118" i="37"/>
  <c r="T118" i="37"/>
  <c r="S118" i="37"/>
  <c r="Q118" i="37"/>
  <c r="O118" i="37"/>
  <c r="M118" i="37"/>
  <c r="K118" i="37"/>
  <c r="X117" i="37"/>
  <c r="W117" i="37"/>
  <c r="V117" i="37"/>
  <c r="U117" i="37"/>
  <c r="T117" i="37"/>
  <c r="S117" i="37"/>
  <c r="Q117" i="37"/>
  <c r="O117" i="37"/>
  <c r="M117" i="37"/>
  <c r="K117" i="37"/>
  <c r="X116" i="37"/>
  <c r="W116" i="37"/>
  <c r="V116" i="37"/>
  <c r="U116" i="37"/>
  <c r="T116" i="37"/>
  <c r="S116" i="37"/>
  <c r="Q116" i="37"/>
  <c r="O116" i="37"/>
  <c r="M116" i="37"/>
  <c r="K116" i="37"/>
  <c r="X115" i="37"/>
  <c r="W115" i="37"/>
  <c r="V115" i="37"/>
  <c r="U115" i="37"/>
  <c r="T115" i="37"/>
  <c r="S115" i="37"/>
  <c r="Q115" i="37"/>
  <c r="O115" i="37"/>
  <c r="M115" i="37"/>
  <c r="K115" i="37"/>
  <c r="X114" i="37"/>
  <c r="W114" i="37"/>
  <c r="V114" i="37"/>
  <c r="U114" i="37"/>
  <c r="T114" i="37"/>
  <c r="S114" i="37"/>
  <c r="Q114" i="37"/>
  <c r="O114" i="37"/>
  <c r="M114" i="37"/>
  <c r="K114" i="37"/>
  <c r="X113" i="37"/>
  <c r="W113" i="37"/>
  <c r="V113" i="37"/>
  <c r="U113" i="37"/>
  <c r="T113" i="37"/>
  <c r="S113" i="37"/>
  <c r="Q113" i="37"/>
  <c r="O113" i="37"/>
  <c r="M113" i="37"/>
  <c r="K113" i="37"/>
  <c r="X112" i="37"/>
  <c r="W112" i="37"/>
  <c r="V112" i="37"/>
  <c r="U112" i="37"/>
  <c r="T112" i="37"/>
  <c r="S112" i="37"/>
  <c r="Q112" i="37"/>
  <c r="O112" i="37"/>
  <c r="M112" i="37"/>
  <c r="K112" i="37"/>
  <c r="X111" i="37"/>
  <c r="W111" i="37"/>
  <c r="V111" i="37"/>
  <c r="U111" i="37"/>
  <c r="T111" i="37"/>
  <c r="S111" i="37"/>
  <c r="Q111" i="37"/>
  <c r="O111" i="37"/>
  <c r="M111" i="37"/>
  <c r="K111" i="37"/>
  <c r="X110" i="37"/>
  <c r="W110" i="37"/>
  <c r="V110" i="37"/>
  <c r="U110" i="37"/>
  <c r="T110" i="37"/>
  <c r="S110" i="37"/>
  <c r="Q110" i="37"/>
  <c r="O110" i="37"/>
  <c r="M110" i="37"/>
  <c r="K110" i="37"/>
  <c r="X109" i="37"/>
  <c r="W109" i="37"/>
  <c r="V109" i="37"/>
  <c r="U109" i="37"/>
  <c r="T109" i="37"/>
  <c r="S109" i="37"/>
  <c r="Q109" i="37"/>
  <c r="O109" i="37"/>
  <c r="M109" i="37"/>
  <c r="K109" i="37"/>
  <c r="X108" i="37"/>
  <c r="W108" i="37"/>
  <c r="V108" i="37"/>
  <c r="U108" i="37"/>
  <c r="T108" i="37"/>
  <c r="S108" i="37"/>
  <c r="Q108" i="37"/>
  <c r="O108" i="37"/>
  <c r="M108" i="37"/>
  <c r="K108" i="37"/>
  <c r="X107" i="37"/>
  <c r="W107" i="37"/>
  <c r="V107" i="37"/>
  <c r="U107" i="37"/>
  <c r="T107" i="37"/>
  <c r="S107" i="37"/>
  <c r="Q107" i="37"/>
  <c r="O107" i="37"/>
  <c r="M107" i="37"/>
  <c r="K107" i="37"/>
  <c r="X106" i="37"/>
  <c r="W106" i="37"/>
  <c r="V106" i="37"/>
  <c r="U106" i="37"/>
  <c r="T106" i="37"/>
  <c r="S106" i="37"/>
  <c r="Q106" i="37"/>
  <c r="O106" i="37"/>
  <c r="M106" i="37"/>
  <c r="K106" i="37"/>
  <c r="X105" i="37"/>
  <c r="W105" i="37"/>
  <c r="V105" i="37"/>
  <c r="U105" i="37"/>
  <c r="T105" i="37"/>
  <c r="S105" i="37"/>
  <c r="Q105" i="37"/>
  <c r="O105" i="37"/>
  <c r="M105" i="37"/>
  <c r="K105" i="37"/>
  <c r="X104" i="37"/>
  <c r="W104" i="37"/>
  <c r="V104" i="37"/>
  <c r="U104" i="37"/>
  <c r="T104" i="37"/>
  <c r="S104" i="37"/>
  <c r="Q104" i="37"/>
  <c r="O104" i="37"/>
  <c r="M104" i="37"/>
  <c r="K104" i="37"/>
  <c r="X103" i="37"/>
  <c r="W103" i="37"/>
  <c r="V103" i="37"/>
  <c r="U103" i="37"/>
  <c r="T103" i="37"/>
  <c r="S103" i="37"/>
  <c r="Q103" i="37"/>
  <c r="O103" i="37"/>
  <c r="M103" i="37"/>
  <c r="K103" i="37"/>
  <c r="X102" i="37"/>
  <c r="W102" i="37"/>
  <c r="V102" i="37"/>
  <c r="U102" i="37"/>
  <c r="T102" i="37"/>
  <c r="S102" i="37"/>
  <c r="Q102" i="37"/>
  <c r="O102" i="37"/>
  <c r="M102" i="37"/>
  <c r="K102" i="37"/>
  <c r="X101" i="37"/>
  <c r="W101" i="37"/>
  <c r="V101" i="37"/>
  <c r="U101" i="37"/>
  <c r="T101" i="37"/>
  <c r="S101" i="37"/>
  <c r="Q101" i="37"/>
  <c r="O101" i="37"/>
  <c r="M101" i="37"/>
  <c r="K101" i="37"/>
  <c r="X100" i="37"/>
  <c r="W100" i="37"/>
  <c r="V100" i="37"/>
  <c r="U100" i="37"/>
  <c r="T100" i="37"/>
  <c r="S100" i="37"/>
  <c r="Q100" i="37"/>
  <c r="O100" i="37"/>
  <c r="M100" i="37"/>
  <c r="K100" i="37"/>
  <c r="X99" i="37"/>
  <c r="W99" i="37"/>
  <c r="V99" i="37"/>
  <c r="U99" i="37"/>
  <c r="T99" i="37"/>
  <c r="S99" i="37"/>
  <c r="Q99" i="37"/>
  <c r="O99" i="37"/>
  <c r="M99" i="37"/>
  <c r="K99" i="37"/>
  <c r="X98" i="37"/>
  <c r="W98" i="37"/>
  <c r="V98" i="37"/>
  <c r="U98" i="37"/>
  <c r="T98" i="37"/>
  <c r="S98" i="37"/>
  <c r="Q98" i="37"/>
  <c r="O98" i="37"/>
  <c r="M98" i="37"/>
  <c r="K98" i="37"/>
  <c r="X97" i="37"/>
  <c r="W97" i="37"/>
  <c r="V97" i="37"/>
  <c r="U97" i="37"/>
  <c r="T97" i="37"/>
  <c r="S97" i="37"/>
  <c r="Q97" i="37"/>
  <c r="O97" i="37"/>
  <c r="M97" i="37"/>
  <c r="K97" i="37"/>
  <c r="X96" i="37"/>
  <c r="W96" i="37"/>
  <c r="V96" i="37"/>
  <c r="U96" i="37"/>
  <c r="T96" i="37"/>
  <c r="S96" i="37"/>
  <c r="Q96" i="37"/>
  <c r="O96" i="37"/>
  <c r="M96" i="37"/>
  <c r="K96" i="37"/>
  <c r="X95" i="37"/>
  <c r="W95" i="37"/>
  <c r="V95" i="37"/>
  <c r="U95" i="37"/>
  <c r="T95" i="37"/>
  <c r="S95" i="37"/>
  <c r="Q95" i="37"/>
  <c r="O95" i="37"/>
  <c r="M95" i="37"/>
  <c r="K95" i="37"/>
  <c r="X94" i="37"/>
  <c r="W94" i="37"/>
  <c r="V94" i="37"/>
  <c r="U94" i="37"/>
  <c r="T94" i="37"/>
  <c r="S94" i="37"/>
  <c r="Q94" i="37"/>
  <c r="O94" i="37"/>
  <c r="M94" i="37"/>
  <c r="K94" i="37"/>
  <c r="X93" i="37"/>
  <c r="W93" i="37"/>
  <c r="V93" i="37"/>
  <c r="U93" i="37"/>
  <c r="T93" i="37"/>
  <c r="S93" i="37"/>
  <c r="Q93" i="37"/>
  <c r="O93" i="37"/>
  <c r="M93" i="37"/>
  <c r="K93" i="37"/>
  <c r="X92" i="37"/>
  <c r="W92" i="37"/>
  <c r="V92" i="37"/>
  <c r="U92" i="37"/>
  <c r="T92" i="37"/>
  <c r="S92" i="37"/>
  <c r="Q92" i="37"/>
  <c r="O92" i="37"/>
  <c r="M92" i="37"/>
  <c r="K92" i="37"/>
  <c r="X91" i="37"/>
  <c r="W91" i="37"/>
  <c r="V91" i="37"/>
  <c r="U91" i="37"/>
  <c r="T91" i="37"/>
  <c r="S91" i="37"/>
  <c r="Q91" i="37"/>
  <c r="O91" i="37"/>
  <c r="M91" i="37"/>
  <c r="K91" i="37"/>
  <c r="X90" i="37"/>
  <c r="W90" i="37"/>
  <c r="V90" i="37"/>
  <c r="U90" i="37"/>
  <c r="T90" i="37"/>
  <c r="S90" i="37"/>
  <c r="Q90" i="37"/>
  <c r="O90" i="37"/>
  <c r="M90" i="37"/>
  <c r="K90" i="37"/>
  <c r="X89" i="37"/>
  <c r="W89" i="37"/>
  <c r="V89" i="37"/>
  <c r="U89" i="37"/>
  <c r="T89" i="37"/>
  <c r="S89" i="37"/>
  <c r="Q89" i="37"/>
  <c r="O89" i="37"/>
  <c r="M89" i="37"/>
  <c r="K89" i="37"/>
  <c r="X88" i="37"/>
  <c r="W88" i="37"/>
  <c r="V88" i="37"/>
  <c r="U88" i="37"/>
  <c r="T88" i="37"/>
  <c r="S88" i="37"/>
  <c r="Q88" i="37"/>
  <c r="O88" i="37"/>
  <c r="M88" i="37"/>
  <c r="K88" i="37"/>
  <c r="X87" i="37"/>
  <c r="W87" i="37"/>
  <c r="V87" i="37"/>
  <c r="U87" i="37"/>
  <c r="T87" i="37"/>
  <c r="S87" i="37"/>
  <c r="Q87" i="37"/>
  <c r="O87" i="37"/>
  <c r="M87" i="37"/>
  <c r="K87" i="37"/>
  <c r="X86" i="37"/>
  <c r="W86" i="37"/>
  <c r="V86" i="37"/>
  <c r="U86" i="37"/>
  <c r="T86" i="37"/>
  <c r="S86" i="37"/>
  <c r="Q86" i="37"/>
  <c r="O86" i="37"/>
  <c r="M86" i="37"/>
  <c r="K86" i="37"/>
  <c r="X85" i="37"/>
  <c r="W85" i="37"/>
  <c r="V85" i="37"/>
  <c r="U85" i="37"/>
  <c r="T85" i="37"/>
  <c r="S85" i="37"/>
  <c r="Q85" i="37"/>
  <c r="O85" i="37"/>
  <c r="M85" i="37"/>
  <c r="K85" i="37"/>
  <c r="X84" i="37"/>
  <c r="W84" i="37"/>
  <c r="V84" i="37"/>
  <c r="U84" i="37"/>
  <c r="T84" i="37"/>
  <c r="S84" i="37"/>
  <c r="Q84" i="37"/>
  <c r="O84" i="37"/>
  <c r="M84" i="37"/>
  <c r="K84" i="37"/>
  <c r="X83" i="37"/>
  <c r="W83" i="37"/>
  <c r="V83" i="37"/>
  <c r="U83" i="37"/>
  <c r="T83" i="37"/>
  <c r="S83" i="37"/>
  <c r="Q83" i="37"/>
  <c r="O83" i="37"/>
  <c r="M83" i="37"/>
  <c r="K83" i="37"/>
  <c r="X82" i="37"/>
  <c r="W82" i="37"/>
  <c r="V82" i="37"/>
  <c r="U82" i="37"/>
  <c r="T82" i="37"/>
  <c r="S82" i="37"/>
  <c r="Q82" i="37"/>
  <c r="O82" i="37"/>
  <c r="M82" i="37"/>
  <c r="K82" i="37"/>
  <c r="X81" i="37"/>
  <c r="W81" i="37"/>
  <c r="V81" i="37"/>
  <c r="U81" i="37"/>
  <c r="T81" i="37"/>
  <c r="S81" i="37"/>
  <c r="Q81" i="37"/>
  <c r="O81" i="37"/>
  <c r="M81" i="37"/>
  <c r="K81" i="37"/>
  <c r="X80" i="37"/>
  <c r="W80" i="37"/>
  <c r="V80" i="37"/>
  <c r="U80" i="37"/>
  <c r="T80" i="37"/>
  <c r="S80" i="37"/>
  <c r="Q80" i="37"/>
  <c r="O80" i="37"/>
  <c r="M80" i="37"/>
  <c r="K80" i="37"/>
  <c r="X79" i="37"/>
  <c r="W79" i="37"/>
  <c r="V79" i="37"/>
  <c r="U79" i="37"/>
  <c r="T79" i="37"/>
  <c r="S79" i="37"/>
  <c r="Q79" i="37"/>
  <c r="O79" i="37"/>
  <c r="M79" i="37"/>
  <c r="K79" i="37"/>
  <c r="X78" i="37"/>
  <c r="W78" i="37"/>
  <c r="V78" i="37"/>
  <c r="U78" i="37"/>
  <c r="T78" i="37"/>
  <c r="S78" i="37"/>
  <c r="Q78" i="37"/>
  <c r="O78" i="37"/>
  <c r="M78" i="37"/>
  <c r="K78" i="37"/>
  <c r="X77" i="37"/>
  <c r="W77" i="37"/>
  <c r="V77" i="37"/>
  <c r="U77" i="37"/>
  <c r="T77" i="37"/>
  <c r="S77" i="37"/>
  <c r="Q77" i="37"/>
  <c r="O77" i="37"/>
  <c r="M77" i="37"/>
  <c r="K77" i="37"/>
  <c r="X76" i="37"/>
  <c r="W76" i="37"/>
  <c r="V76" i="37"/>
  <c r="U76" i="37"/>
  <c r="T76" i="37"/>
  <c r="S76" i="37"/>
  <c r="Q76" i="37"/>
  <c r="O76" i="37"/>
  <c r="M76" i="37"/>
  <c r="K76" i="37"/>
  <c r="X75" i="37"/>
  <c r="W75" i="37"/>
  <c r="V75" i="37"/>
  <c r="U75" i="37"/>
  <c r="T75" i="37"/>
  <c r="S75" i="37"/>
  <c r="Q75" i="37"/>
  <c r="O75" i="37"/>
  <c r="M75" i="37"/>
  <c r="K75" i="37"/>
  <c r="X74" i="37"/>
  <c r="W74" i="37"/>
  <c r="V74" i="37"/>
  <c r="U74" i="37"/>
  <c r="T74" i="37"/>
  <c r="S74" i="37"/>
  <c r="Q74" i="37"/>
  <c r="O74" i="37"/>
  <c r="M74" i="37"/>
  <c r="K74" i="37"/>
  <c r="X73" i="37"/>
  <c r="W73" i="37"/>
  <c r="V73" i="37"/>
  <c r="U73" i="37"/>
  <c r="T73" i="37"/>
  <c r="S73" i="37"/>
  <c r="Q73" i="37"/>
  <c r="O73" i="37"/>
  <c r="M73" i="37"/>
  <c r="K73" i="37"/>
  <c r="X72" i="37"/>
  <c r="W72" i="37"/>
  <c r="V72" i="37"/>
  <c r="U72" i="37"/>
  <c r="T72" i="37"/>
  <c r="S72" i="37"/>
  <c r="Q72" i="37"/>
  <c r="O72" i="37"/>
  <c r="M72" i="37"/>
  <c r="K72" i="37"/>
  <c r="X71" i="37"/>
  <c r="W71" i="37"/>
  <c r="V71" i="37"/>
  <c r="U71" i="37"/>
  <c r="T71" i="37"/>
  <c r="S71" i="37"/>
  <c r="Q71" i="37"/>
  <c r="O71" i="37"/>
  <c r="M71" i="37"/>
  <c r="K71" i="37"/>
  <c r="X70" i="37"/>
  <c r="W70" i="37"/>
  <c r="V70" i="37"/>
  <c r="U70" i="37"/>
  <c r="T70" i="37"/>
  <c r="S70" i="37"/>
  <c r="Q70" i="37"/>
  <c r="O70" i="37"/>
  <c r="M70" i="37"/>
  <c r="K70" i="37"/>
  <c r="X69" i="37"/>
  <c r="W69" i="37"/>
  <c r="V69" i="37"/>
  <c r="U69" i="37"/>
  <c r="T69" i="37"/>
  <c r="S69" i="37"/>
  <c r="Q69" i="37"/>
  <c r="O69" i="37"/>
  <c r="M69" i="37"/>
  <c r="K69" i="37"/>
  <c r="X68" i="37"/>
  <c r="W68" i="37"/>
  <c r="V68" i="37"/>
  <c r="U68" i="37"/>
  <c r="T68" i="37"/>
  <c r="S68" i="37"/>
  <c r="Q68" i="37"/>
  <c r="O68" i="37"/>
  <c r="M68" i="37"/>
  <c r="K68" i="37"/>
  <c r="X67" i="37"/>
  <c r="W67" i="37"/>
  <c r="V67" i="37"/>
  <c r="U67" i="37"/>
  <c r="T67" i="37"/>
  <c r="S67" i="37"/>
  <c r="Q67" i="37"/>
  <c r="O67" i="37"/>
  <c r="M67" i="37"/>
  <c r="K67" i="37"/>
  <c r="X66" i="37"/>
  <c r="W66" i="37"/>
  <c r="V66" i="37"/>
  <c r="U66" i="37"/>
  <c r="T66" i="37"/>
  <c r="S66" i="37"/>
  <c r="Q66" i="37"/>
  <c r="O66" i="37"/>
  <c r="M66" i="37"/>
  <c r="K66" i="37"/>
  <c r="X65" i="37"/>
  <c r="W65" i="37"/>
  <c r="V65" i="37"/>
  <c r="U65" i="37"/>
  <c r="T65" i="37"/>
  <c r="S65" i="37"/>
  <c r="Q65" i="37"/>
  <c r="O65" i="37"/>
  <c r="M65" i="37"/>
  <c r="K65" i="37"/>
  <c r="X64" i="37"/>
  <c r="W64" i="37"/>
  <c r="V64" i="37"/>
  <c r="U64" i="37"/>
  <c r="T64" i="37"/>
  <c r="S64" i="37"/>
  <c r="Q64" i="37"/>
  <c r="O64" i="37"/>
  <c r="M64" i="37"/>
  <c r="K64" i="37"/>
  <c r="X63" i="37"/>
  <c r="W63" i="37"/>
  <c r="V63" i="37"/>
  <c r="U63" i="37"/>
  <c r="T63" i="37"/>
  <c r="S63" i="37"/>
  <c r="Q63" i="37"/>
  <c r="O63" i="37"/>
  <c r="M63" i="37"/>
  <c r="K63" i="37"/>
  <c r="X62" i="37"/>
  <c r="W62" i="37"/>
  <c r="V62" i="37"/>
  <c r="U62" i="37"/>
  <c r="T62" i="37"/>
  <c r="S62" i="37"/>
  <c r="Q62" i="37"/>
  <c r="O62" i="37"/>
  <c r="M62" i="37"/>
  <c r="K62" i="37"/>
  <c r="X61" i="37"/>
  <c r="W61" i="37"/>
  <c r="V61" i="37"/>
  <c r="U61" i="37"/>
  <c r="T61" i="37"/>
  <c r="S61" i="37"/>
  <c r="Q61" i="37"/>
  <c r="O61" i="37"/>
  <c r="M61" i="37"/>
  <c r="K61" i="37"/>
  <c r="X60" i="37"/>
  <c r="W60" i="37"/>
  <c r="V60" i="37"/>
  <c r="U60" i="37"/>
  <c r="T60" i="37"/>
  <c r="S60" i="37"/>
  <c r="Q60" i="37"/>
  <c r="O60" i="37"/>
  <c r="M60" i="37"/>
  <c r="K60" i="37"/>
  <c r="X59" i="37"/>
  <c r="W59" i="37"/>
  <c r="V59" i="37"/>
  <c r="U59" i="37"/>
  <c r="T59" i="37"/>
  <c r="S59" i="37"/>
  <c r="Q59" i="37"/>
  <c r="O59" i="37"/>
  <c r="M59" i="37"/>
  <c r="K59" i="37"/>
  <c r="X58" i="37"/>
  <c r="W58" i="37"/>
  <c r="V58" i="37"/>
  <c r="U58" i="37"/>
  <c r="T58" i="37"/>
  <c r="S58" i="37"/>
  <c r="Q58" i="37"/>
  <c r="O58" i="37"/>
  <c r="M58" i="37"/>
  <c r="K58" i="37"/>
  <c r="X57" i="37"/>
  <c r="W57" i="37"/>
  <c r="V57" i="37"/>
  <c r="U57" i="37"/>
  <c r="T57" i="37"/>
  <c r="S57" i="37"/>
  <c r="Q57" i="37"/>
  <c r="O57" i="37"/>
  <c r="M57" i="37"/>
  <c r="K57" i="37"/>
  <c r="X56" i="37"/>
  <c r="W56" i="37"/>
  <c r="V56" i="37"/>
  <c r="U56" i="37"/>
  <c r="T56" i="37"/>
  <c r="S56" i="37"/>
  <c r="Q56" i="37"/>
  <c r="O56" i="37"/>
  <c r="M56" i="37"/>
  <c r="K56" i="37"/>
  <c r="X55" i="37"/>
  <c r="W55" i="37"/>
  <c r="V55" i="37"/>
  <c r="U55" i="37"/>
  <c r="T55" i="37"/>
  <c r="S55" i="37"/>
  <c r="Q55" i="37"/>
  <c r="O55" i="37"/>
  <c r="M55" i="37"/>
  <c r="K55" i="37"/>
  <c r="X54" i="37"/>
  <c r="W54" i="37"/>
  <c r="V54" i="37"/>
  <c r="U54" i="37"/>
  <c r="T54" i="37"/>
  <c r="S54" i="37"/>
  <c r="Q54" i="37"/>
  <c r="O54" i="37"/>
  <c r="M54" i="37"/>
  <c r="K54" i="37"/>
  <c r="X53" i="37"/>
  <c r="W53" i="37"/>
  <c r="V53" i="37"/>
  <c r="U53" i="37"/>
  <c r="T53" i="37"/>
  <c r="S53" i="37"/>
  <c r="Q53" i="37"/>
  <c r="O53" i="37"/>
  <c r="M53" i="37"/>
  <c r="K53" i="37"/>
  <c r="X52" i="37"/>
  <c r="W52" i="37"/>
  <c r="V52" i="37"/>
  <c r="U52" i="37"/>
  <c r="T52" i="37"/>
  <c r="S52" i="37"/>
  <c r="Q52" i="37"/>
  <c r="O52" i="37"/>
  <c r="M52" i="37"/>
  <c r="K52" i="37"/>
  <c r="X51" i="37"/>
  <c r="W51" i="37"/>
  <c r="V51" i="37"/>
  <c r="U51" i="37"/>
  <c r="T51" i="37"/>
  <c r="S51" i="37"/>
  <c r="Q51" i="37"/>
  <c r="O51" i="37"/>
  <c r="M51" i="37"/>
  <c r="K51" i="37"/>
  <c r="X50" i="37"/>
  <c r="W50" i="37"/>
  <c r="V50" i="37"/>
  <c r="U50" i="37"/>
  <c r="T50" i="37"/>
  <c r="S50" i="37"/>
  <c r="Q50" i="37"/>
  <c r="O50" i="37"/>
  <c r="M50" i="37"/>
  <c r="K50" i="37"/>
  <c r="X49" i="37"/>
  <c r="W49" i="37"/>
  <c r="V49" i="37"/>
  <c r="U49" i="37"/>
  <c r="T49" i="37"/>
  <c r="S49" i="37"/>
  <c r="Q49" i="37"/>
  <c r="O49" i="37"/>
  <c r="M49" i="37"/>
  <c r="K49" i="37"/>
  <c r="X48" i="37"/>
  <c r="W48" i="37"/>
  <c r="V48" i="37"/>
  <c r="U48" i="37"/>
  <c r="T48" i="37"/>
  <c r="S48" i="37"/>
  <c r="Q48" i="37"/>
  <c r="O48" i="37"/>
  <c r="M48" i="37"/>
  <c r="K48" i="37"/>
  <c r="X47" i="37"/>
  <c r="W47" i="37"/>
  <c r="V47" i="37"/>
  <c r="U47" i="37"/>
  <c r="T47" i="37"/>
  <c r="S47" i="37"/>
  <c r="Q47" i="37"/>
  <c r="O47" i="37"/>
  <c r="M47" i="37"/>
  <c r="K47" i="37"/>
  <c r="X46" i="37"/>
  <c r="W46" i="37"/>
  <c r="V46" i="37"/>
  <c r="U46" i="37"/>
  <c r="T46" i="37"/>
  <c r="S46" i="37"/>
  <c r="Q46" i="37"/>
  <c r="O46" i="37"/>
  <c r="M46" i="37"/>
  <c r="K46" i="37"/>
  <c r="X45" i="37"/>
  <c r="W45" i="37"/>
  <c r="V45" i="37"/>
  <c r="U45" i="37"/>
  <c r="T45" i="37"/>
  <c r="S45" i="37"/>
  <c r="Q45" i="37"/>
  <c r="O45" i="37"/>
  <c r="M45" i="37"/>
  <c r="K45" i="37"/>
  <c r="X44" i="37"/>
  <c r="W44" i="37"/>
  <c r="V44" i="37"/>
  <c r="U44" i="37"/>
  <c r="T44" i="37"/>
  <c r="S44" i="37"/>
  <c r="Q44" i="37"/>
  <c r="O44" i="37"/>
  <c r="M44" i="37"/>
  <c r="K44" i="37"/>
  <c r="X43" i="37"/>
  <c r="W43" i="37"/>
  <c r="V43" i="37"/>
  <c r="U43" i="37"/>
  <c r="T43" i="37"/>
  <c r="S43" i="37"/>
  <c r="Q43" i="37"/>
  <c r="O43" i="37"/>
  <c r="M43" i="37"/>
  <c r="K43" i="37"/>
  <c r="X42" i="37"/>
  <c r="W42" i="37"/>
  <c r="V42" i="37"/>
  <c r="U42" i="37"/>
  <c r="T42" i="37"/>
  <c r="S42" i="37"/>
  <c r="Q42" i="37"/>
  <c r="O42" i="37"/>
  <c r="M42" i="37"/>
  <c r="K42" i="37"/>
  <c r="X41" i="37"/>
  <c r="W41" i="37"/>
  <c r="V41" i="37"/>
  <c r="U41" i="37"/>
  <c r="T41" i="37"/>
  <c r="S41" i="37"/>
  <c r="Q41" i="37"/>
  <c r="O41" i="37"/>
  <c r="M41" i="37"/>
  <c r="K41" i="37"/>
  <c r="X40" i="37"/>
  <c r="W40" i="37"/>
  <c r="V40" i="37"/>
  <c r="U40" i="37"/>
  <c r="T40" i="37"/>
  <c r="S40" i="37"/>
  <c r="Q40" i="37"/>
  <c r="O40" i="37"/>
  <c r="M40" i="37"/>
  <c r="K40" i="37"/>
  <c r="X39" i="37"/>
  <c r="W39" i="37"/>
  <c r="V39" i="37"/>
  <c r="U39" i="37"/>
  <c r="T39" i="37"/>
  <c r="S39" i="37"/>
  <c r="Q39" i="37"/>
  <c r="O39" i="37"/>
  <c r="M39" i="37"/>
  <c r="K39" i="37"/>
  <c r="X38" i="37"/>
  <c r="W38" i="37"/>
  <c r="V38" i="37"/>
  <c r="U38" i="37"/>
  <c r="T38" i="37"/>
  <c r="S38" i="37"/>
  <c r="Q38" i="37"/>
  <c r="O38" i="37"/>
  <c r="M38" i="37"/>
  <c r="K38" i="37"/>
  <c r="X37" i="37"/>
  <c r="W37" i="37"/>
  <c r="V37" i="37"/>
  <c r="U37" i="37"/>
  <c r="T37" i="37"/>
  <c r="S37" i="37"/>
  <c r="Q37" i="37"/>
  <c r="O37" i="37"/>
  <c r="M37" i="37"/>
  <c r="K37" i="37"/>
  <c r="X36" i="37"/>
  <c r="W36" i="37"/>
  <c r="V36" i="37"/>
  <c r="U36" i="37"/>
  <c r="T36" i="37"/>
  <c r="S36" i="37"/>
  <c r="Q36" i="37"/>
  <c r="O36" i="37"/>
  <c r="M36" i="37"/>
  <c r="K36" i="37"/>
  <c r="X35" i="37"/>
  <c r="W35" i="37"/>
  <c r="V35" i="37"/>
  <c r="U35" i="37"/>
  <c r="T35" i="37"/>
  <c r="S35" i="37"/>
  <c r="Q35" i="37"/>
  <c r="O35" i="37"/>
  <c r="M35" i="37"/>
  <c r="K35" i="37"/>
  <c r="X34" i="37"/>
  <c r="W34" i="37"/>
  <c r="V34" i="37"/>
  <c r="U34" i="37"/>
  <c r="T34" i="37"/>
  <c r="S34" i="37"/>
  <c r="Q34" i="37"/>
  <c r="O34" i="37"/>
  <c r="M34" i="37"/>
  <c r="K34" i="37"/>
  <c r="X33" i="37"/>
  <c r="W33" i="37"/>
  <c r="V33" i="37"/>
  <c r="U33" i="37"/>
  <c r="T33" i="37"/>
  <c r="S33" i="37"/>
  <c r="Q33" i="37"/>
  <c r="O33" i="37"/>
  <c r="M33" i="37"/>
  <c r="K33" i="37"/>
  <c r="X32" i="37"/>
  <c r="W32" i="37"/>
  <c r="V32" i="37"/>
  <c r="U32" i="37"/>
  <c r="T32" i="37"/>
  <c r="S32" i="37"/>
  <c r="Q32" i="37"/>
  <c r="O32" i="37"/>
  <c r="M32" i="37"/>
  <c r="K32" i="37"/>
  <c r="X31" i="37"/>
  <c r="W31" i="37"/>
  <c r="V31" i="37"/>
  <c r="U31" i="37"/>
  <c r="T31" i="37"/>
  <c r="S31" i="37"/>
  <c r="Q31" i="37"/>
  <c r="O31" i="37"/>
  <c r="M31" i="37"/>
  <c r="K31" i="37"/>
  <c r="X30" i="37"/>
  <c r="W30" i="37"/>
  <c r="V30" i="37"/>
  <c r="U30" i="37"/>
  <c r="T30" i="37"/>
  <c r="S30" i="37"/>
  <c r="Q30" i="37"/>
  <c r="O30" i="37"/>
  <c r="M30" i="37"/>
  <c r="K30" i="37"/>
  <c r="X29" i="37"/>
  <c r="W29" i="37"/>
  <c r="V29" i="37"/>
  <c r="U29" i="37"/>
  <c r="T29" i="37"/>
  <c r="S29" i="37"/>
  <c r="Q29" i="37"/>
  <c r="O29" i="37"/>
  <c r="M29" i="37"/>
  <c r="K29" i="37"/>
  <c r="X28" i="37"/>
  <c r="W28" i="37"/>
  <c r="V28" i="37"/>
  <c r="U28" i="37"/>
  <c r="T28" i="37"/>
  <c r="S28" i="37"/>
  <c r="Q28" i="37"/>
  <c r="O28" i="37"/>
  <c r="M28" i="37"/>
  <c r="K28" i="37"/>
  <c r="X27" i="37"/>
  <c r="W27" i="37"/>
  <c r="V27" i="37"/>
  <c r="U27" i="37"/>
  <c r="T27" i="37"/>
  <c r="S27" i="37"/>
  <c r="Q27" i="37"/>
  <c r="O27" i="37"/>
  <c r="M27" i="37"/>
  <c r="K27" i="37"/>
  <c r="X26" i="37"/>
  <c r="W26" i="37"/>
  <c r="V26" i="37"/>
  <c r="U26" i="37"/>
  <c r="T26" i="37"/>
  <c r="S26" i="37"/>
  <c r="Q26" i="37"/>
  <c r="O26" i="37"/>
  <c r="M26" i="37"/>
  <c r="K26" i="37"/>
  <c r="X25" i="37"/>
  <c r="W25" i="37"/>
  <c r="V25" i="37"/>
  <c r="U25" i="37"/>
  <c r="T25" i="37"/>
  <c r="S25" i="37"/>
  <c r="Q25" i="37"/>
  <c r="O25" i="37"/>
  <c r="M25" i="37"/>
  <c r="K25" i="37"/>
  <c r="X24" i="37"/>
  <c r="W24" i="37"/>
  <c r="V24" i="37"/>
  <c r="U24" i="37"/>
  <c r="T24" i="37"/>
  <c r="S24" i="37"/>
  <c r="Q24" i="37"/>
  <c r="O24" i="37"/>
  <c r="M24" i="37"/>
  <c r="K24" i="37"/>
  <c r="X23" i="37"/>
  <c r="W23" i="37"/>
  <c r="V23" i="37"/>
  <c r="U23" i="37"/>
  <c r="T23" i="37"/>
  <c r="S23" i="37"/>
  <c r="Q23" i="37"/>
  <c r="O23" i="37"/>
  <c r="M23" i="37"/>
  <c r="K23" i="37"/>
  <c r="X22" i="37"/>
  <c r="W22" i="37"/>
  <c r="V22" i="37"/>
  <c r="U22" i="37"/>
  <c r="T22" i="37"/>
  <c r="S22" i="37"/>
  <c r="Q22" i="37"/>
  <c r="O22" i="37"/>
  <c r="M22" i="37"/>
  <c r="K22" i="37"/>
  <c r="X21" i="37"/>
  <c r="W21" i="37"/>
  <c r="V21" i="37"/>
  <c r="U21" i="37"/>
  <c r="T21" i="37"/>
  <c r="S21" i="37"/>
  <c r="Q21" i="37"/>
  <c r="O21" i="37"/>
  <c r="M21" i="37"/>
  <c r="K21" i="37"/>
  <c r="X20" i="37"/>
  <c r="W20" i="37"/>
  <c r="V20" i="37"/>
  <c r="U20" i="37"/>
  <c r="T20" i="37"/>
  <c r="S20" i="37"/>
  <c r="Q20" i="37"/>
  <c r="O20" i="37"/>
  <c r="M20" i="37"/>
  <c r="K20" i="37"/>
  <c r="X19" i="37"/>
  <c r="W19" i="37"/>
  <c r="V19" i="37"/>
  <c r="U19" i="37"/>
  <c r="T19" i="37"/>
  <c r="S19" i="37"/>
  <c r="Q19" i="37"/>
  <c r="O19" i="37"/>
  <c r="M19" i="37"/>
  <c r="K19" i="37"/>
  <c r="X18" i="37"/>
  <c r="W18" i="37"/>
  <c r="V18" i="37"/>
  <c r="U18" i="37"/>
  <c r="T18" i="37"/>
  <c r="S18" i="37"/>
  <c r="Q18" i="37"/>
  <c r="O18" i="37"/>
  <c r="M18" i="37"/>
  <c r="K18" i="37"/>
  <c r="X17" i="37"/>
  <c r="W17" i="37"/>
  <c r="V17" i="37"/>
  <c r="U17" i="37"/>
  <c r="T17" i="37"/>
  <c r="S17" i="37"/>
  <c r="Q17" i="37"/>
  <c r="O17" i="37"/>
  <c r="M17" i="37"/>
  <c r="K17" i="37"/>
  <c r="X16" i="37"/>
  <c r="W16" i="37"/>
  <c r="V16" i="37"/>
  <c r="U16" i="37"/>
  <c r="T16" i="37"/>
  <c r="S16" i="37"/>
  <c r="Q16" i="37"/>
  <c r="O16" i="37"/>
  <c r="M16" i="37"/>
  <c r="K16" i="37"/>
  <c r="X15" i="37"/>
  <c r="W15" i="37"/>
  <c r="V15" i="37"/>
  <c r="U15" i="37"/>
  <c r="T15" i="37"/>
  <c r="S15" i="37"/>
  <c r="Q15" i="37"/>
  <c r="O15" i="37"/>
  <c r="M15" i="37"/>
  <c r="K15" i="37"/>
  <c r="X14" i="37"/>
  <c r="W14" i="37"/>
  <c r="V14" i="37"/>
  <c r="U14" i="37"/>
  <c r="T14" i="37"/>
  <c r="S14" i="37"/>
  <c r="Q14" i="37"/>
  <c r="O14" i="37"/>
  <c r="M14" i="37"/>
  <c r="K14" i="37"/>
  <c r="X13" i="37"/>
  <c r="W13" i="37"/>
  <c r="V13" i="37"/>
  <c r="U13" i="37"/>
  <c r="T13" i="37"/>
  <c r="S13" i="37"/>
  <c r="Q13" i="37"/>
  <c r="O13" i="37"/>
  <c r="M13" i="37"/>
  <c r="K13" i="37"/>
  <c r="X12" i="37"/>
  <c r="W12" i="37"/>
  <c r="V12" i="37"/>
  <c r="U12" i="37"/>
  <c r="T12" i="37"/>
  <c r="S12" i="37"/>
  <c r="Q12" i="37"/>
  <c r="O12" i="37"/>
  <c r="M12" i="37"/>
  <c r="K12" i="37"/>
  <c r="X11" i="37"/>
  <c r="W11" i="37"/>
  <c r="V11" i="37"/>
  <c r="U11" i="37"/>
  <c r="T11" i="37"/>
  <c r="S11" i="37"/>
  <c r="Q11" i="37"/>
  <c r="O11" i="37"/>
  <c r="M11" i="37"/>
  <c r="K11" i="37"/>
  <c r="X10" i="37"/>
  <c r="W10" i="37"/>
  <c r="V10" i="37"/>
  <c r="U10" i="37"/>
  <c r="T10" i="37"/>
  <c r="S10" i="37"/>
  <c r="Q10" i="37"/>
  <c r="O10" i="37"/>
  <c r="M10" i="37"/>
  <c r="K10" i="37"/>
  <c r="X9" i="37"/>
  <c r="W9" i="37"/>
  <c r="V9" i="37"/>
  <c r="U9" i="37"/>
  <c r="T9" i="37"/>
  <c r="S9" i="37"/>
  <c r="Q9" i="37"/>
  <c r="O9" i="37"/>
  <c r="M9" i="37"/>
  <c r="K9" i="37"/>
  <c r="X8" i="37"/>
  <c r="W8" i="37"/>
  <c r="V8" i="37"/>
  <c r="U8" i="37"/>
  <c r="T8" i="37"/>
  <c r="S8" i="37"/>
  <c r="Q8" i="37"/>
  <c r="O8" i="37"/>
  <c r="M8" i="37"/>
  <c r="K8" i="37"/>
  <c r="X7" i="37"/>
  <c r="W7" i="37"/>
  <c r="V7" i="37"/>
  <c r="U7" i="37"/>
  <c r="T7" i="37"/>
  <c r="S7" i="37"/>
  <c r="Q7" i="37"/>
  <c r="O7" i="37"/>
  <c r="M7" i="37"/>
  <c r="K7" i="37"/>
</calcChain>
</file>

<file path=xl/sharedStrings.xml><?xml version="1.0" encoding="utf-8"?>
<sst xmlns="http://schemas.openxmlformats.org/spreadsheetml/2006/main" count="52510" uniqueCount="1258">
  <si>
    <t>(注) 1.信用：制度信用銘柄                  　　　　　　　　　　 (Notes) 1."信用"：Issues eligible for Standardized margin transactions.
     2.貸借：制度信用銘柄及び貸借銘柄                                   2."貸借"：Issues eligible for Standardized margin transactions and loan transactions.
     3.審　：監理銘柄（審査中）　確　：監理銘柄（確認中）               3."審""確""監"：Securities Under Supervision(Examination/Confirmation).
       監　：監理銘柄（審査中・確認中）                                   "整"　　　　：Securities to be Delisted.
       整　：整理銘柄</t>
    <phoneticPr fontId="3"/>
  </si>
  <si>
    <t>E　T　F　相　場　表</t>
    <rPh sb="6" eb="7">
      <t>ソウ</t>
    </rPh>
    <rPh sb="8" eb="9">
      <t>バ</t>
    </rPh>
    <rPh sb="10" eb="11">
      <t>ヒョウ</t>
    </rPh>
    <phoneticPr fontId="3"/>
  </si>
  <si>
    <t>Exchange-Traded Fund Quotations</t>
    <phoneticPr fontId="3"/>
  </si>
  <si>
    <t>年月</t>
    <phoneticPr fontId="8"/>
  </si>
  <si>
    <t>銘柄コード</t>
    <rPh sb="0" eb="2">
      <t>メイガラ</t>
    </rPh>
    <phoneticPr fontId="3"/>
  </si>
  <si>
    <t>日付</t>
    <rPh sb="0" eb="2">
      <t>ヒヅケ</t>
    </rPh>
    <phoneticPr fontId="3"/>
  </si>
  <si>
    <t>区分</t>
    <phoneticPr fontId="8"/>
  </si>
  <si>
    <t>信用・貸借</t>
    <rPh sb="0" eb="2">
      <t>シンヨウ</t>
    </rPh>
    <rPh sb="3" eb="5">
      <t>タイシャク</t>
    </rPh>
    <phoneticPr fontId="3"/>
  </si>
  <si>
    <t>売買単位</t>
    <rPh sb="0" eb="2">
      <t>バイバイ</t>
    </rPh>
    <rPh sb="2" eb="4">
      <t>タンイ</t>
    </rPh>
    <phoneticPr fontId="3"/>
  </si>
  <si>
    <t>始値</t>
    <rPh sb="0" eb="2">
      <t>ハジメネ</t>
    </rPh>
    <phoneticPr fontId="3"/>
  </si>
  <si>
    <t>高値</t>
    <rPh sb="0" eb="1">
      <t>タカ</t>
    </rPh>
    <rPh sb="1" eb="2">
      <t>ネ</t>
    </rPh>
    <phoneticPr fontId="3"/>
  </si>
  <si>
    <t>安値</t>
    <rPh sb="0" eb="2">
      <t>ヤスネ</t>
    </rPh>
    <phoneticPr fontId="3"/>
  </si>
  <si>
    <t>終値</t>
    <rPh sb="0" eb="2">
      <t>オワリネ</t>
    </rPh>
    <phoneticPr fontId="3"/>
  </si>
  <si>
    <t>終値平均</t>
    <rPh sb="0" eb="2">
      <t>オワリネ</t>
    </rPh>
    <rPh sb="2" eb="4">
      <t>ヘイキン</t>
    </rPh>
    <phoneticPr fontId="3"/>
  </si>
  <si>
    <t>売買高</t>
    <rPh sb="0" eb="3">
      <t>バイバイダカ</t>
    </rPh>
    <phoneticPr fontId="3"/>
  </si>
  <si>
    <t>うちToSTNeT売買高</t>
  </si>
  <si>
    <t>売買代金</t>
    <rPh sb="0" eb="2">
      <t>バイバイ</t>
    </rPh>
    <rPh sb="2" eb="4">
      <t>ダイキン</t>
    </rPh>
    <phoneticPr fontId="3"/>
  </si>
  <si>
    <t>うちToSTNeT売買代金</t>
  </si>
  <si>
    <t>値付日数</t>
    <rPh sb="0" eb="2">
      <t>ネツ</t>
    </rPh>
    <rPh sb="2" eb="4">
      <t>ニッスウ</t>
    </rPh>
    <phoneticPr fontId="3"/>
  </si>
  <si>
    <t>Year/Month</t>
    <phoneticPr fontId="8"/>
  </si>
  <si>
    <t>Code</t>
    <phoneticPr fontId="8"/>
  </si>
  <si>
    <t>銘柄名称</t>
    <phoneticPr fontId="8"/>
  </si>
  <si>
    <t>Issues</t>
  </si>
  <si>
    <t>銘柄属性</t>
    <rPh sb="0" eb="2">
      <t>メイガラ</t>
    </rPh>
    <rPh sb="2" eb="4">
      <t>ゾクセイ</t>
    </rPh>
    <phoneticPr fontId="8"/>
  </si>
  <si>
    <t>Attribute</t>
    <phoneticPr fontId="8"/>
  </si>
  <si>
    <t>Date</t>
    <phoneticPr fontId="3"/>
  </si>
  <si>
    <t>Sector</t>
    <phoneticPr fontId="8"/>
  </si>
  <si>
    <t>margin/loan</t>
    <phoneticPr fontId="8"/>
  </si>
  <si>
    <t>Trading Unit</t>
    <phoneticPr fontId="3"/>
  </si>
  <si>
    <t>Open</t>
  </si>
  <si>
    <t>High</t>
    <phoneticPr fontId="3"/>
  </si>
  <si>
    <t>Low</t>
  </si>
  <si>
    <t>Close</t>
  </si>
  <si>
    <t>Average Closing Price</t>
    <phoneticPr fontId="8"/>
  </si>
  <si>
    <t>Trading Volume</t>
  </si>
  <si>
    <t>Trading Volume(ToSTNeT)</t>
    <phoneticPr fontId="8"/>
  </si>
  <si>
    <t>Trading Value</t>
  </si>
  <si>
    <t>Trading Value(ToSTNeT)</t>
    <phoneticPr fontId="8"/>
  </si>
  <si>
    <t>Days Traded</t>
    <phoneticPr fontId="3"/>
  </si>
  <si>
    <t>口(units）</t>
    <phoneticPr fontId="8"/>
  </si>
  <si>
    <t>円(￥)</t>
    <phoneticPr fontId="8"/>
  </si>
  <si>
    <t>口(units）</t>
  </si>
  <si>
    <t>1305</t>
  </si>
  <si>
    <t/>
  </si>
  <si>
    <t>貸借</t>
  </si>
  <si>
    <t>1306</t>
  </si>
  <si>
    <t>ＮＥＸＴ　ＦＵＮＤＳ　ＴＯＰＩＸ連動型上場投信　受益証券</t>
  </si>
  <si>
    <t>NEXT FUNDS TOPIX Exchange Traded Fund</t>
  </si>
  <si>
    <t>1308</t>
  </si>
  <si>
    <t>上場インデックスファンドＴＯＰＩＸ　受益証券</t>
  </si>
  <si>
    <t>Nikko Exchange Traded Index Fund TOPIX</t>
  </si>
  <si>
    <t>1309</t>
  </si>
  <si>
    <t>ＮＥＸＴ　ＦＵＮＤＳ　ＣｈｉｎａＡＭＣ・中国株式・上証５０連動型上場投信　受益証券</t>
  </si>
  <si>
    <t>NEXT FUNDS ChinaAMC SSE50 Index Exchange Traded Fund</t>
  </si>
  <si>
    <t>1311</t>
  </si>
  <si>
    <t>ＮＥＸＴ　ＦＵＮＤＳ　ＴＯＰＩＸ　Ｃｏｒｅ　３０連動型上場投信　受益証券</t>
  </si>
  <si>
    <t>NEXT FUNDS TOPIX Core 30 Exchange Traded Fund</t>
  </si>
  <si>
    <t>1319</t>
  </si>
  <si>
    <t>ＮＥＸＴ　ＦＵＮＤＳ　日経３００株価指数連動型上場投信　受益証券</t>
  </si>
  <si>
    <t>NEXT FUNDS Nikkei 300 Index Exchange Traded Fund</t>
  </si>
  <si>
    <t>1320</t>
  </si>
  <si>
    <t>1321</t>
  </si>
  <si>
    <t>ＮＥＸＴ　ＦＵＮＤＳ　日経２２５連動型上場投信　受益証券</t>
  </si>
  <si>
    <t>NEXT FUNDS Nikkei 225 Exchange Traded Fund</t>
  </si>
  <si>
    <t>1322</t>
  </si>
  <si>
    <t>上場インデックスファンド中国Ａ株（パンダ）Ｅ　Ｆｕｎｄ　ＣＳＩ３００　受益証券</t>
  </si>
  <si>
    <t>Listed Index Fund China A Share (Panda) E Fund CSI300</t>
  </si>
  <si>
    <t>1324</t>
  </si>
  <si>
    <t>1325</t>
  </si>
  <si>
    <t>ＮＥＸＴ　ＦＵＮＤＳ　ブラジル株式指数・ボベスパ連動型上場投信　受益証券</t>
  </si>
  <si>
    <t>NEXT FUNDS Ibovespa Linked Exchange Traded Fund</t>
  </si>
  <si>
    <t>1326</t>
  </si>
  <si>
    <t>ＳＰＤＲゴールド・シェア　受益証券</t>
  </si>
  <si>
    <t>SPDR Gold Shares</t>
  </si>
  <si>
    <t>1328</t>
  </si>
  <si>
    <t>ＮＥＸＴ　ＦＵＮＤＳ　金価格連動型上場投信　受益証券</t>
  </si>
  <si>
    <t>NEXT FUNDS Gold Price Exchange Traded Fund</t>
  </si>
  <si>
    <t>1329</t>
  </si>
  <si>
    <t>ｉシェアーズ・コア　日経２２５　ＥＴＦ　受益証券</t>
  </si>
  <si>
    <t>iShares Core Nikkei 225 ETF</t>
  </si>
  <si>
    <t>1330</t>
  </si>
  <si>
    <t>上場インデックスファンド２２５　受益証券</t>
  </si>
  <si>
    <t>Nikko Exchange Traded Index Fund 225</t>
  </si>
  <si>
    <t>1343</t>
  </si>
  <si>
    <t>NEXT FUNDS REIT INDEX ETF</t>
  </si>
  <si>
    <t>1345</t>
  </si>
  <si>
    <t>上場インデックスファンドＪリート（東証ＲＥＩＴ指数）隔月分配型　受益証券</t>
  </si>
  <si>
    <t>1346</t>
  </si>
  <si>
    <t>ＭＡＸＩＳ　日経２２５上場投信　受益証券</t>
  </si>
  <si>
    <t>1348</t>
  </si>
  <si>
    <t>ＭＡＸＩＳ　トピックス上場投信　受益証券</t>
  </si>
  <si>
    <t>MAXIS TOPIX ETF</t>
  </si>
  <si>
    <t>1349</t>
  </si>
  <si>
    <t>ABF汎アジア債券インデックス・ファンド　受益証券</t>
  </si>
  <si>
    <t>ABF PAN ASIA BOND INDEX FUND</t>
  </si>
  <si>
    <t>1356</t>
  </si>
  <si>
    <t>ＴＯＰＩＸベア２倍上場投信　受益証券</t>
  </si>
  <si>
    <t>TOPIX Bear -2x ETF</t>
  </si>
  <si>
    <t>1357</t>
  </si>
  <si>
    <t>ＮＥＸＴ　ＦＵＮＤＳ　日経平均ダブルインバース・インデックス連動型上場投信　受益証券</t>
  </si>
  <si>
    <t>1358</t>
  </si>
  <si>
    <t>上場インデックスファンド日経レバレッジ指数　受益証券</t>
  </si>
  <si>
    <t>Listed Index Fund Nikkei Leveraged Index</t>
  </si>
  <si>
    <t>1360</t>
  </si>
  <si>
    <t>日経平均ベア２倍上場投信　受益証券</t>
  </si>
  <si>
    <t>Nikkei225 Bear -2x ETF</t>
  </si>
  <si>
    <t>1364</t>
  </si>
  <si>
    <t>ｉシェアーズ　ＪＰＸ日経４００　ＥＴＦ　受益証券</t>
  </si>
  <si>
    <t>iShares JPX-Nikkei 400 ETF</t>
  </si>
  <si>
    <t>1365</t>
  </si>
  <si>
    <t>1366</t>
  </si>
  <si>
    <t>1367</t>
  </si>
  <si>
    <t>1368</t>
  </si>
  <si>
    <t>1369</t>
  </si>
  <si>
    <t>Ｏｎｅ　ＥＴＦ　日経２２５　受益証券</t>
  </si>
  <si>
    <t>One ETF Nikkei225</t>
  </si>
  <si>
    <t>1397</t>
  </si>
  <si>
    <t>ＳＭＤＡＭ　日経２２５上場投信　受益証券</t>
  </si>
  <si>
    <t>SMDAM NIKKEI225 ETF</t>
  </si>
  <si>
    <t>1398</t>
  </si>
  <si>
    <t>ＳＭＤＡＭ　東証ＲＥＩＴ指数上場投信　受益証券</t>
  </si>
  <si>
    <t>SMDAM REIT Index ETF</t>
  </si>
  <si>
    <t>1399</t>
  </si>
  <si>
    <t>上場インデックスファンドＭＳＣＩ日本株高配当低ボラティリティ　受益証券</t>
  </si>
  <si>
    <t>Listed Index Fund MSCI Japan Equity High Dividend Low Volatility</t>
  </si>
  <si>
    <t>1456</t>
  </si>
  <si>
    <t>1457</t>
  </si>
  <si>
    <t>1458</t>
  </si>
  <si>
    <t>楽天ＥＴＦ‐日経レバレッジ指数連動型　受益証券</t>
  </si>
  <si>
    <t>Rakuten ETF - Nikkei 225 Leveraged Index</t>
  </si>
  <si>
    <t>1459</t>
  </si>
  <si>
    <t>楽天ＥＴＦ‐日経ダブルインバース指数連動型　受益証券</t>
  </si>
  <si>
    <t>Rakuten ETF - Nikkei 225 Double Inverse Index</t>
  </si>
  <si>
    <t>1464</t>
  </si>
  <si>
    <t>1465</t>
  </si>
  <si>
    <t>1466</t>
  </si>
  <si>
    <t>1469</t>
  </si>
  <si>
    <t>ＪＰＸ日経４００ベア２倍上場投信（ダブルインバース）　受益証券</t>
  </si>
  <si>
    <t>JPX-Nikkei 400 Bear -2x Double Inverse ETF</t>
  </si>
  <si>
    <t>1472</t>
  </si>
  <si>
    <t>ＮＥＸＴ　ＦＵＮＤＳ　ＪＰＸ日経４００ダブルインバース・インデックス連動型上場投信　受益証券</t>
  </si>
  <si>
    <t>NEXT FUNDS JPX-Nikkei 400 Double Inverse Index Exchange Traded Fund</t>
  </si>
  <si>
    <t>1473</t>
  </si>
  <si>
    <t>Ｏｎｅ　ＥＴＦ　トピックス　受益証券</t>
  </si>
  <si>
    <t>One ETF TOPIX</t>
  </si>
  <si>
    <t>1474</t>
  </si>
  <si>
    <t>Ｏｎｅ　ＥＴＦ　ＪＰＸ日経４００　受益証券</t>
  </si>
  <si>
    <t>One ETF JPX-Nikkei 400</t>
  </si>
  <si>
    <t>1475</t>
  </si>
  <si>
    <t>ｉシェアーズ・コア　ＴＯＰＩＸ　ＥＴＦ　受益証券</t>
  </si>
  <si>
    <t>iShares Core TOPIX ETF</t>
  </si>
  <si>
    <t>1476</t>
  </si>
  <si>
    <t>ｉシェアーズ・コア　Ｊリート　ＥＴＦ　受益証券</t>
  </si>
  <si>
    <t>iShares Core Japan REIT ETF</t>
  </si>
  <si>
    <t>1477</t>
  </si>
  <si>
    <t>ｉシェアーズ　ＭＳＣＩ　日本株最小分散　ＥＴＦ　受益証券</t>
  </si>
  <si>
    <t>iShares MSCI Japan Minimum Volatility (ex-REITs) ETF</t>
  </si>
  <si>
    <t>1478</t>
  </si>
  <si>
    <t>ｉシェアーズ　ＭＳＣＩ　ジャパン高配当利回り　ＥＴＦ　受益証券</t>
  </si>
  <si>
    <t>iShares MSCI Japan High Dividend ETF</t>
  </si>
  <si>
    <t>1479</t>
  </si>
  <si>
    <t>1480</t>
  </si>
  <si>
    <t>ＮＥＸＴ　ＦＵＮＤＳ　野村企業価値分配指数連動型上場投信　受益証券</t>
  </si>
  <si>
    <t>NEXT FUNDS Nomura Enterprise Value Allocation Index Exchange Traded Fund</t>
  </si>
  <si>
    <t>1481</t>
  </si>
  <si>
    <t>上場インデックスファンド日本経済貢献株　受益証券</t>
  </si>
  <si>
    <t>Listed Index Fund Japanese Economy Contributor Stocks</t>
  </si>
  <si>
    <t>1482</t>
  </si>
  <si>
    <t>ｉシェアーズ・コア　米国債７－１０年　ＥＴＦ（為替ヘッジあり）　受益証券</t>
  </si>
  <si>
    <t>iShares Core 7-10 Year US Treasury Bond JPY Hedged ETF</t>
  </si>
  <si>
    <t>1483</t>
  </si>
  <si>
    <t>ｉシェアーズ　ＪＰＸ／Ｓ＆Ｐ設備・人材投資　ＥＴＦ　受益証券</t>
  </si>
  <si>
    <t>iShares JPX/S&amp;P CAPEX &amp; Human Capital ETF</t>
  </si>
  <si>
    <t>1484</t>
  </si>
  <si>
    <t>Ｏｎｅ　ＥＴＦ　ＪＰＸ／Ｓ＆Ｐ　設備・人材投資指数　受益証券</t>
  </si>
  <si>
    <t>One ETF JPX/S&amp;P CAPEX &amp; Human Capital Index</t>
  </si>
  <si>
    <t>1485</t>
  </si>
  <si>
    <t>ＭＡＸＩＳ　ＪＡＰＡＮ　設備・人材積極投資企業２００上場投信　受益証券</t>
  </si>
  <si>
    <t>MAXIS JAPAN Proactive Investment in Physical and Human Capital 200 Index ETF</t>
  </si>
  <si>
    <t>1486</t>
  </si>
  <si>
    <t>上場インデックスファンド米国債券（為替ヘッジなし）　受益証券</t>
  </si>
  <si>
    <t>Listed Index Fund US Bond (No Currency Hedge)</t>
  </si>
  <si>
    <t>1487</t>
  </si>
  <si>
    <t>上場インデックスファンド米国債券（為替ヘッジあり）　受益証券</t>
  </si>
  <si>
    <t>Listed Index Fund US Bond (Currency Hedge)</t>
  </si>
  <si>
    <t>1488</t>
  </si>
  <si>
    <t>1489</t>
  </si>
  <si>
    <t>ＮＥＸＴ　ＦＵＮＤＳ　日経平均高配当株５０指数連動型上場投信　受益証券</t>
  </si>
  <si>
    <t>NEXT FUNDS Nikkei 225 High Dividend Yield Stock 50 Index Exchange Traded Fund</t>
  </si>
  <si>
    <t>1490</t>
  </si>
  <si>
    <t>上場インデックスファンドＭＳＣＩ日本株高配当低ボラティリティ（βヘッジ）　受益証券</t>
  </si>
  <si>
    <t>Listed Index Fund MSCI Japan Equity High Dividend Low Volatility (Beta Hedged)</t>
  </si>
  <si>
    <t>1492</t>
  </si>
  <si>
    <t>ＭＡＸＩＳ　ＪＰＸ　日経中小型株指数上場投信　受益証券</t>
  </si>
  <si>
    <t>MAXIS JPX-Nikkei Mid and Small Cap Index ETF</t>
  </si>
  <si>
    <t>1493</t>
  </si>
  <si>
    <t>Ｏｎｅ　ＥＴＦ　ＪＰＸ日経中小型　受益証券</t>
  </si>
  <si>
    <t>One ETF JPX-Nikkei Mid Small</t>
  </si>
  <si>
    <t>1494</t>
  </si>
  <si>
    <t>Ｏｎｅ　ＥＴＦ　高配当日本株　受益証券</t>
  </si>
  <si>
    <t>One ETF High Dividend Japan Equity</t>
  </si>
  <si>
    <t>1495</t>
  </si>
  <si>
    <t>上場インデックスファンドアジアリート　受益証券</t>
  </si>
  <si>
    <t>Listed Index Fund Asian REIT</t>
  </si>
  <si>
    <t>1496</t>
  </si>
  <si>
    <t>ｉシェアーズ　米ドル建て投資適格社債　ＥＴＦ（為替ヘッジあり）　受益証券</t>
  </si>
  <si>
    <t>iShares USD Investment Grade Corporate Bond JPY Hedged ETF</t>
  </si>
  <si>
    <t>1497</t>
  </si>
  <si>
    <t>ｉシェアーズ　米ドル建てハイイールド社債　ＥＴＦ（為替ヘッジあり）　受益証券</t>
  </si>
  <si>
    <t>iShares USD High Yield Corporate Bond JPY Hedged ETF</t>
  </si>
  <si>
    <t>1498</t>
  </si>
  <si>
    <t>Ｏｎｅ　ＥＴＦ　ＥＳＧ　受益証券</t>
  </si>
  <si>
    <t>One ETF ESG</t>
  </si>
  <si>
    <t>1499</t>
  </si>
  <si>
    <t>ＭＡＸＩＳ日本株高配当７０マーケットニュートラル上場投信　受益証券</t>
  </si>
  <si>
    <t>MAXIS Japan Equity High Dividend 70 Market Neutral ETF</t>
  </si>
  <si>
    <t>1540</t>
  </si>
  <si>
    <t>純金上場信託（現物国内保管型）　受益証券</t>
  </si>
  <si>
    <t>Japan Physical Gold ETF</t>
  </si>
  <si>
    <t>1541</t>
  </si>
  <si>
    <t>純プラチナ上場信託（現物国内保管型）　受益証券</t>
  </si>
  <si>
    <t>Japan Physical Platinum ETF</t>
  </si>
  <si>
    <t>1542</t>
  </si>
  <si>
    <t>純銀上場信託（現物国内保管型）　受益証券</t>
  </si>
  <si>
    <t>Japan Physical Silver ETF</t>
  </si>
  <si>
    <t>1543</t>
  </si>
  <si>
    <t>純パラジウム上場信託（現物国内保管型）　受益証券</t>
  </si>
  <si>
    <t>Japan Physical Palladium ETF</t>
  </si>
  <si>
    <t>1545</t>
  </si>
  <si>
    <t>1546</t>
  </si>
  <si>
    <t>1547</t>
  </si>
  <si>
    <t>上場インデックスファンド米国株式（Ｓ＆Ｐ５００）　受益証券</t>
  </si>
  <si>
    <t>Listed Index Fund US Equity (S&amp;P500)</t>
  </si>
  <si>
    <t>1550</t>
  </si>
  <si>
    <t>ＭＡＸＩＳ　海外株式（ＭＳＣＩコクサイ）上場投信　受益証券</t>
  </si>
  <si>
    <t>MAXIS Global Equity (MSCI Kokusai) ETF</t>
  </si>
  <si>
    <t>1551</t>
  </si>
  <si>
    <t>1552</t>
  </si>
  <si>
    <t>国際のＥＴＦ　ＶＩＸ短期先物指数　受益証券</t>
  </si>
  <si>
    <t>KOKUSAI S&amp;P500 VIX SHORT-TERM FUTURES INDEX ETF</t>
  </si>
  <si>
    <t>確</t>
  </si>
  <si>
    <t>1554</t>
  </si>
  <si>
    <t>上場インデックスファンド世界株式（ＭＳＣＩ　ＡＣＷＩ）除く日本　受益証券</t>
  </si>
  <si>
    <t>Listed Index Fund World Equity (MSCI ACWI) ex Japan</t>
  </si>
  <si>
    <t>1555</t>
  </si>
  <si>
    <t>Listed Index Fund Australian REIT (S&amp;P/ASX200 A-REIT)</t>
  </si>
  <si>
    <t>1557</t>
  </si>
  <si>
    <t>ＳＰＤＲ　Ｓ＆Ｐ５００　ＥＴＦ　受益証券</t>
  </si>
  <si>
    <t>SPDR S&amp;P500 ETF Trust</t>
  </si>
  <si>
    <t>1559</t>
  </si>
  <si>
    <t>ＮＥＸＴ　ＦＵＮＤＳ　タイ株式ＳＥＴ５０指数連動型上場投信　受益証券</t>
  </si>
  <si>
    <t>NEXT FUNDS Thai Stock SET50 Exchange Traded Fund</t>
  </si>
  <si>
    <t>1560</t>
  </si>
  <si>
    <t>ＮＥＸＴ　ＦＵＮＤＳ　ＦＴＳＥブルサ・マレーシアＫＬＣＩ連動型上場投信　受益証券</t>
  </si>
  <si>
    <t>NEXT FUNDS FTSE Bursa Malaysia KLCI Exchange Traded Fund</t>
  </si>
  <si>
    <t>1563</t>
  </si>
  <si>
    <t>1566</t>
  </si>
  <si>
    <t>上場インデックスファンド新興国債券　受益証券</t>
  </si>
  <si>
    <t>Listed Index Fund Emerging Bond</t>
  </si>
  <si>
    <t>1568</t>
  </si>
  <si>
    <t>ＴＯＰＩＸブル２倍上場投信　受益証券</t>
  </si>
  <si>
    <t>TOPIX Bull 2x ETF</t>
  </si>
  <si>
    <t>1569</t>
  </si>
  <si>
    <t>ＴＯＰＩＸベア上場投信　受益証券</t>
  </si>
  <si>
    <t>TOPIX Bear -1x ETF</t>
  </si>
  <si>
    <t>1570</t>
  </si>
  <si>
    <t>ＮＥＸＴ　ＦＵＮＤＳ　日経平均レバレッジ・インデックス連動型上場投信　受益証券</t>
  </si>
  <si>
    <t>NEXT FUNDS Nikkei 225 Leveraged Index Exchange Traded Fund</t>
  </si>
  <si>
    <t>1571</t>
  </si>
  <si>
    <t>ＮＥＸＴ　ＦＵＮＤＳ　日経平均インバース・インデックス連動型上場投信　受益証券</t>
  </si>
  <si>
    <t>NEXT FUNDS Nikkei 225 Inverse Index Exchange Traded Fund</t>
  </si>
  <si>
    <t>1572</t>
  </si>
  <si>
    <t>中国Ｈ株ブル２倍上場投信　受益証券</t>
  </si>
  <si>
    <t>China Bull 2x HSCEI ETF</t>
  </si>
  <si>
    <t>1573</t>
  </si>
  <si>
    <t>中国Ｈ株ベア上場投信　受益証券</t>
  </si>
  <si>
    <t>China Bear -1x HSCEI ETF</t>
  </si>
  <si>
    <t>1577</t>
  </si>
  <si>
    <t>ＮＥＸＴ　ＦＵＮＤＳ　野村日本株高配当７０連動型上場投信　受益証券</t>
  </si>
  <si>
    <t>1578</t>
  </si>
  <si>
    <t>上場インデックスファンド日経２２５（ミニ）　受益証券</t>
  </si>
  <si>
    <t>Listed Index Fund Nikkei 225 (Mini)</t>
  </si>
  <si>
    <t>1579</t>
  </si>
  <si>
    <t>日経平均ブル２倍上場投信　受益証券</t>
  </si>
  <si>
    <t>Nikkei 225 Bull 2x ETF</t>
  </si>
  <si>
    <t>1580</t>
  </si>
  <si>
    <t>日経平均ベア上場投信　受益証券</t>
  </si>
  <si>
    <t>Nikkei 225 Bear -1x ETF</t>
  </si>
  <si>
    <t>1585</t>
  </si>
  <si>
    <t>1586</t>
  </si>
  <si>
    <t>上場インデックスファンドＴＯＰＩＸ　Ｅｘ－Ｆｉｎａｎｃｉａｌｓ　受益証券</t>
  </si>
  <si>
    <t>Listed Index Fund TOPIX Ex-Financials</t>
  </si>
  <si>
    <t>1591</t>
  </si>
  <si>
    <t>ＮＥＸＴ　ＦＵＮＤＳ　ＪＰＸ日経インデックス４００連動型上場投信　受益証券</t>
  </si>
  <si>
    <t>NEXT FUNDS JPX-Nikkei Index 400 Exchange Traded Fund</t>
  </si>
  <si>
    <t>1592</t>
  </si>
  <si>
    <t>上場インデックスファンドＪＰＸ日経インデックス４００　受益証券</t>
  </si>
  <si>
    <t>Listed Index Fund JPX-Nikkei Index 400</t>
  </si>
  <si>
    <t>1593</t>
  </si>
  <si>
    <t>ＭＡＸＩＳ　ＪＰＸ日経インデックス４００上場投信　受益証券</t>
  </si>
  <si>
    <t>MAXIS JPX-Nikkei Index 400 ETF</t>
  </si>
  <si>
    <t>1595</t>
  </si>
  <si>
    <t>ＮＺＡＭ　上場投信　東証ＲＥＩＴ指数　受益証券</t>
  </si>
  <si>
    <t>NZAM ETF J-REIT Index</t>
  </si>
  <si>
    <t>1596</t>
  </si>
  <si>
    <t>ＮＺＡＭ　上場投信　ＴＯＰＩＸ　Ｅｘ－Ｆｉｎａｎｃｉａｌｓ　受益証券</t>
  </si>
  <si>
    <t>NZAM ETF TOPIX Ex-Financials</t>
  </si>
  <si>
    <t>1597</t>
  </si>
  <si>
    <t>ＭＡＸＩＳ　Ｊリート上場投信　受益証券</t>
  </si>
  <si>
    <t>MAXIS J-REIT ETF</t>
  </si>
  <si>
    <t>1599</t>
  </si>
  <si>
    <t>1615</t>
  </si>
  <si>
    <t>ＮＥＸＴ　ＦＵＮＤＳ　東証銀行業株価指数連動型上場投信　受益証券</t>
  </si>
  <si>
    <t>NEXT FUNDS TOPIX Banks Exchange Traded Fund</t>
  </si>
  <si>
    <t>1617</t>
  </si>
  <si>
    <t>ＮＥＸＴ　ＦＵＮＤＳ　食品（ＴＯＰＩＸ－１７）上場投信　受益証券</t>
  </si>
  <si>
    <t>NEXT FUNDS TOPIX-17 FOODS ETF</t>
  </si>
  <si>
    <t>1618</t>
  </si>
  <si>
    <t>ＮＥＸＴ　ＦＵＮＤＳ　エネルギー資源（ＴＯＰＩＸ－１７）上場投信　受益証券</t>
  </si>
  <si>
    <t>NEXT FUNDS TOPIX-17 ENERGY RESOURCES ETF</t>
  </si>
  <si>
    <t>1619</t>
  </si>
  <si>
    <t>ＮＥＸＴ　ＦＵＮＤＳ　建設・資材（ＴＯＰＩＸ－１７）上場投信　受益証券</t>
  </si>
  <si>
    <t>NEXT FUNDS TOPIX-17 CONSTRUCTION &amp; MATERIALS ETF</t>
  </si>
  <si>
    <t>1620</t>
  </si>
  <si>
    <t>ＮＥＸＴ　ＦＵＮＤＳ　素材・化学（ＴＯＰＩＸ－１７）上場投信　受益証券</t>
  </si>
  <si>
    <t>NEXT FUNDS TOPIX-17 RAW MATERIALS &amp; CHEMICALS ETF</t>
  </si>
  <si>
    <t>1621</t>
  </si>
  <si>
    <t>ＮＥＸＴ　ＦＵＮＤＳ　医薬品（ＴＯＰＩＸ－１７）上場投信　受益証券</t>
  </si>
  <si>
    <t>NEXT FUNDS TOPIX-17 PHARMACEUTICAL ETF</t>
  </si>
  <si>
    <t>1622</t>
  </si>
  <si>
    <t>ＮＥＸＴ　ＦＵＮＤＳ　自動車・輸送機（ＴＯＰＩＸ－１７）上場投信　受益証券</t>
  </si>
  <si>
    <t>NEXT FUNDS TOPIX-17 AUTOMOBILES TRANSPORTATION EQUIPMENT ETF</t>
  </si>
  <si>
    <t>1623</t>
  </si>
  <si>
    <t>ＮＥＸＴ　ＦＵＮＤＳ　鉄鋼・非鉄（ＴＯＰＩＸ－１７）上場投信　受益証券</t>
  </si>
  <si>
    <t>NEXT FUNDS TOPIX-17 STEEL &amp; NONFERROUS ETF</t>
  </si>
  <si>
    <t>1624</t>
  </si>
  <si>
    <t>ＮＥＸＴ　ＦＵＮＤＳ　機械（ＴＯＰＩＸ－１７）上場投信　受益証券</t>
  </si>
  <si>
    <t>NEXT FUNDS TOPIX-17 MACHINERY ETF</t>
  </si>
  <si>
    <t>1625</t>
  </si>
  <si>
    <t>ＮＥＸＴ　ＦＵＮＤＳ　電機・精密（ＴＯＰＩＸ－１７）上場投信　受益証券</t>
  </si>
  <si>
    <t>NEXT FUNDS TOPIX-17 ELECTRIC &amp; PRECISION INSTRUMENTS ETF</t>
  </si>
  <si>
    <t>1626</t>
  </si>
  <si>
    <t>ＮＥＸＴ　ＦＵＮＤＳ　情報通信・サービスその他（ＴＯＰＩＸ－１７）上場投信　受益証券</t>
  </si>
  <si>
    <t>NEXT FUNDS TOPIX-17 IT &amp; SERVICES,OTHERS ETF</t>
  </si>
  <si>
    <t>1627</t>
  </si>
  <si>
    <t>ＮＥＸＴ　ＦＵＮＤＳ　電力・ガス（ＴＯＰＩＸ－１７）上場投信　受益証券</t>
  </si>
  <si>
    <t>NEXT FUNDS TOPIX-17 ELECTRIC POWER &amp; GAS ETF</t>
  </si>
  <si>
    <t>1628</t>
  </si>
  <si>
    <t>ＮＥＸＴ　ＦＵＮＤＳ　運輸・物流（ＴＯＰＩＸ－１７）上場投信　受益証券</t>
  </si>
  <si>
    <t>NEXT FUNDS TOPIX-17 TRANSPORTATION &amp; LOGISTICS ETF</t>
  </si>
  <si>
    <t>1629</t>
  </si>
  <si>
    <t>ＮＥＸＴ　ＦＵＮＤＳ　商社・卸売（ＴＯＰＩＸ－１７）上場投信　受益証券</t>
  </si>
  <si>
    <t>NEXT FUNDS TOPIX-17 COMMERCIAL &amp; WHOLESALE TRADE ETF</t>
  </si>
  <si>
    <t>1630</t>
  </si>
  <si>
    <t>ＮＥＸＴ　ＦＵＮＤＳ　小売（ＴＯＰＩＸ－１７）上場投信　受益証券</t>
  </si>
  <si>
    <t>NEXT FUNDS TOPIX-17 RETAIL TRADE ETF</t>
  </si>
  <si>
    <t>1631</t>
  </si>
  <si>
    <t>ＮＥＸＴ　ＦＵＮＤＳ　銀行（ＴＯＰＩＸ－１７）上場投信　受益証券</t>
  </si>
  <si>
    <t>NEXT FUNDS TOPIX-17 BANKS ETF</t>
  </si>
  <si>
    <t>1632</t>
  </si>
  <si>
    <t>ＮＥＸＴ　ＦＵＮＤＳ　金融（除く銀行）（ＴＯＰＩＸ－１７）上場投信　受益証券</t>
  </si>
  <si>
    <t>NEXT FUNDS TOPIX-17 FINANCIALS (EX BANKS) ETF</t>
  </si>
  <si>
    <t>1633</t>
  </si>
  <si>
    <t>ＮＥＸＴ　ＦＵＮＤＳ　不動産（ＴＯＰＩＸ－１７）上場投信　受益証券</t>
  </si>
  <si>
    <t>NEXT FUNDS TOPIX-17 REAL ESTATE ETF</t>
  </si>
  <si>
    <t>1651</t>
  </si>
  <si>
    <t>1652</t>
  </si>
  <si>
    <t>1653</t>
  </si>
  <si>
    <t>1654</t>
  </si>
  <si>
    <t>1655</t>
  </si>
  <si>
    <t>ｉシェアーズ　Ｓ＆Ｐ　５００　米国株　ＥＴＦ　受益証券</t>
  </si>
  <si>
    <t>iShares S&amp;P 500 ETF</t>
  </si>
  <si>
    <t>1656</t>
  </si>
  <si>
    <t>ｉシェアーズ・コア　米国債７－１０年　ＥＴＦ　受益証券</t>
  </si>
  <si>
    <t>iShares Core 7-10 Year US Treasury Bond ETF</t>
  </si>
  <si>
    <t>1657</t>
  </si>
  <si>
    <t>iShares Core MSCI Kokusai ETF</t>
  </si>
  <si>
    <t>1658</t>
  </si>
  <si>
    <t>ｉシェアーズ・コア　ＭＳＣＩ　新興国株　ＥＴＦ　受益証券</t>
  </si>
  <si>
    <t>iShares Core MSCI Emerging Markets IMI ETF</t>
  </si>
  <si>
    <t>1659</t>
  </si>
  <si>
    <t>ｉシェアーズ　米国リート　ＥＴＦ　受益証券</t>
  </si>
  <si>
    <t>iShares US REIT ETF</t>
  </si>
  <si>
    <t>1660</t>
  </si>
  <si>
    <t>ＭＡＸＩＳ高利回りＪリート上場投信　受益証券</t>
  </si>
  <si>
    <t>MAXIS High Yield J-REIT ETF</t>
  </si>
  <si>
    <t>1671</t>
  </si>
  <si>
    <t>ＷＴＩ原油価格連動型上場投信　受益証券</t>
  </si>
  <si>
    <t>Simplex WTI ETF</t>
  </si>
  <si>
    <t>1672</t>
  </si>
  <si>
    <t>ＥＴＦＳ　金上場投資信託　投資証券</t>
  </si>
  <si>
    <t>WisdomTree Physical Gold Individual Securities</t>
  </si>
  <si>
    <t>1673</t>
  </si>
  <si>
    <t>ＥＴＦＳ　銀上場投資信託　投資証券</t>
  </si>
  <si>
    <t>WisdomTree Physical Silver Individual Securities</t>
  </si>
  <si>
    <t>1674</t>
  </si>
  <si>
    <t>ＥＴＦＳ　白金上場投資信託　投資証券</t>
  </si>
  <si>
    <t>WisdomTree Physical Platinum Individual Securities</t>
  </si>
  <si>
    <t>1675</t>
  </si>
  <si>
    <t>ＥＴＦＳ　パラジウム上場投資信託　投資証券</t>
  </si>
  <si>
    <t>WisdomTree Physical Palladium Individual Securities</t>
  </si>
  <si>
    <t>1676</t>
  </si>
  <si>
    <t>ＥＴＦＳ　貴金属バスケット上場投資信託　投資証券</t>
  </si>
  <si>
    <t>WisdomTree Physical Precious Metals Basket Securities</t>
  </si>
  <si>
    <t>1677</t>
  </si>
  <si>
    <t>上場インデックスファンド海外債券（ＦＴＳＥ　ＷＧＢＩ）毎月分配型　受益証券</t>
  </si>
  <si>
    <t>Listed Index Fund International Bond (FTSE WGBI) Monthly Dividend Payment Type</t>
  </si>
  <si>
    <t>1678</t>
  </si>
  <si>
    <t>NEXT FUNDS Nifty 50 Linked Exchange Traded Fund</t>
  </si>
  <si>
    <t>1679</t>
  </si>
  <si>
    <t>Simple-X NY Dow Jones Index ETF</t>
  </si>
  <si>
    <t>1680</t>
  </si>
  <si>
    <t>上場インデックスファンド海外先進国株式（ＭＳＣＩ－ＫＯＫＵＳＡＩ）　受益証券</t>
  </si>
  <si>
    <t>1681</t>
  </si>
  <si>
    <t>1682</t>
  </si>
  <si>
    <t>ＮＥＸＴ　ＦＵＮＤＳ　日経・ＪＰＸ白金指数連動型上場投信　受益証券</t>
  </si>
  <si>
    <t>NEXT FUNDS Nikkei-JPX Platinum Index Linked Exchange Traded Fund</t>
  </si>
  <si>
    <t>1684</t>
  </si>
  <si>
    <t>ＥＴＦＳ　総合上場投資信託　投資証券</t>
  </si>
  <si>
    <t>WisdomTree Broad Commodities</t>
  </si>
  <si>
    <t>1685</t>
  </si>
  <si>
    <t>ＥＴＦＳ　エネルギー上場投資信託　投資証券</t>
  </si>
  <si>
    <t>WisdomTree Energy</t>
  </si>
  <si>
    <t>1686</t>
  </si>
  <si>
    <t>ＥＴＦＳ　産業用金属上場投資信託　投資証券</t>
  </si>
  <si>
    <t>WisdomTree Industrial Metals</t>
  </si>
  <si>
    <t>1687</t>
  </si>
  <si>
    <t>ＥＴＦＳ　農産物上場投資信託　投資証券</t>
  </si>
  <si>
    <t>WisdomTree Agriculture</t>
  </si>
  <si>
    <t>1688</t>
  </si>
  <si>
    <t>ＥＴＦＳ　穀物上場投資信託　投資証券</t>
  </si>
  <si>
    <t>WisdomTree Grains</t>
  </si>
  <si>
    <t>1689</t>
  </si>
  <si>
    <t>ＥＴＦＳ　天然ガス上場投資信託　投資証券</t>
  </si>
  <si>
    <t>WisdomTree Natural Gas</t>
  </si>
  <si>
    <t>1690</t>
  </si>
  <si>
    <t>ＥＴＦＳ　ＷＴＩ　原油上場投資信託　投資証券</t>
  </si>
  <si>
    <t>WisdomTree WTI Crude Oil</t>
  </si>
  <si>
    <t>1691</t>
  </si>
  <si>
    <t>ＥＴＦＳ　ガソリン上場投資信託　投資証券</t>
  </si>
  <si>
    <t>WisdomTree Gasoline</t>
  </si>
  <si>
    <t>1692</t>
  </si>
  <si>
    <t>ＥＴＦＳ　アルミニウム上場投資信託　投資証券</t>
  </si>
  <si>
    <t>WisdomTree Aluminium</t>
  </si>
  <si>
    <t>1693</t>
  </si>
  <si>
    <t>ＥＴＦＳ　銅上場投資信託　投資証券</t>
  </si>
  <si>
    <t>WisdomTree Copper</t>
  </si>
  <si>
    <t>1694</t>
  </si>
  <si>
    <t>ＥＴＦＳ　ニッケル上場投資信託　投資証券</t>
  </si>
  <si>
    <t>WisdomTree Nickel</t>
  </si>
  <si>
    <t>1695</t>
  </si>
  <si>
    <t>ＥＴＦＳ　小麦上場投資信託　投資証券</t>
  </si>
  <si>
    <t>WisdomTree Wheat</t>
  </si>
  <si>
    <t>1696</t>
  </si>
  <si>
    <t>ＥＴＦＳ　とうもろこし上場投資信託　投資証券</t>
  </si>
  <si>
    <t>WisdomTree Corn</t>
  </si>
  <si>
    <t>1697</t>
  </si>
  <si>
    <t>ＥＴＦＳ　大豆上場投資信託　投資証券</t>
  </si>
  <si>
    <t>WisdomTree Soybeans</t>
  </si>
  <si>
    <t>1698</t>
  </si>
  <si>
    <t>上場インデックスファンド日本高配当（東証配当フォーカス１００）　受益証券</t>
  </si>
  <si>
    <t>1699</t>
  </si>
  <si>
    <t>2031</t>
  </si>
  <si>
    <t>ＮＥＸＴ　ＮＯＴＥＳ　香港ハンセン・ダブル・ブル　ＥＴＮ　受益証券</t>
  </si>
  <si>
    <t>NEXT NOTES HSI Leveraged ETN</t>
  </si>
  <si>
    <t>信用</t>
  </si>
  <si>
    <t>2032</t>
  </si>
  <si>
    <t>ＮＥＸＴ　ＮＯＴＥＳ　香港ハンセン・ベア　ＥＴＮ　受益証券</t>
  </si>
  <si>
    <t>NEXT NOTES HSI Short ETN</t>
  </si>
  <si>
    <t>2033</t>
  </si>
  <si>
    <t>ＮＥＸＴ　ＮＯＴＥＳ　韓国ＫＯＳＰＩ・ダブル・ブル　ＥＴＮ　受益証券</t>
  </si>
  <si>
    <t>NEXT NOTES KOSPI200 Leverage ETN</t>
  </si>
  <si>
    <t>2034</t>
  </si>
  <si>
    <t>ＮＥＸＴ　ＮＯＴＥＳ　韓国ＫＯＳＰＩ・ベア　ＥＴＮ　受益証券</t>
  </si>
  <si>
    <t>NEXT NOTES F-KOSPI200 Inverse ETN</t>
  </si>
  <si>
    <t>2036</t>
  </si>
  <si>
    <t>ＮＥＸＴ　ＮＯＴＥＳ　金先物　ダブル・ブル　ＥＴＮ　受益証券</t>
  </si>
  <si>
    <t>NEXT NOTES Gold Futures Double Bull ETN</t>
  </si>
  <si>
    <t>2037</t>
  </si>
  <si>
    <t>ＮＥＸＴ　ＮＯＴＥＳ　金先物　ベア　ＥＴＮ　受益証券</t>
  </si>
  <si>
    <t>NEXT NOTES Gold Futures Bear ETN</t>
  </si>
  <si>
    <t>2038</t>
  </si>
  <si>
    <t>ＮＥＸＴ　ＮＯＴＥＳ　ドバイ原油先物　ダブル・ブル　ＥＴＮ　受益証券</t>
  </si>
  <si>
    <t>NEXT NOTES Dubai Crude Oil Futures Double Bull ETN</t>
  </si>
  <si>
    <t>2039</t>
  </si>
  <si>
    <t>ＮＥＸＴ　ＮＯＴＥＳ　ドバイ原油先物　ベア　ＥＴＮ　受益証券</t>
  </si>
  <si>
    <t>NEXT NOTES Dubai Crude Oil Futures Bear ETN</t>
  </si>
  <si>
    <t>2040</t>
  </si>
  <si>
    <t>ＮＥＸＴ　ＮＯＴＥＳ　ＮＹダウ・ダブル・ブル・ドルヘッジ　ＥＴＮ　受益証券</t>
  </si>
  <si>
    <t>NEXT NOTES DJIA PR JPY-Monthly Hedged Leveraged (x2) ETN</t>
  </si>
  <si>
    <t>2041</t>
  </si>
  <si>
    <t>ＮＥＸＴ　ＮＯＴＥＳ　ＮＹダウ・ベア・ドルヘッジ　ＥＴＮ　受益証券</t>
  </si>
  <si>
    <t>NEXT NOTES DJIA TR JPY-Monthly Hedged Inverse (x1) ETN</t>
  </si>
  <si>
    <t>2042</t>
  </si>
  <si>
    <t>2043</t>
  </si>
  <si>
    <t>ＮＥＸＴ　ＮＯＴＥＳ　ＳＴＯＸＸ　アセアン好配当５０（円、ネットリターン）ＥＴＮ　受益証券</t>
  </si>
  <si>
    <t>NEXT NOTES STOXX ASEAN-Five Select Dividend 50(NR-JPY) ETN</t>
  </si>
  <si>
    <t>2044</t>
  </si>
  <si>
    <t>ＮＥＸＴ　ＮＯＴＥＳ　Ｓ＆Ｐ５００　配当貴族（ネットリターン）　ＥＴＮ　受益証券</t>
  </si>
  <si>
    <t>NEXT NOTES S&amp;P 500 Dividend Aristocrats Net Total Return Index ETN</t>
  </si>
  <si>
    <t>2045</t>
  </si>
  <si>
    <t>ＮＥＸＴ　ＮＯＴＥＳ　Ｓ＆Ｐ　シンガポール　リート（ネットリターン）　ＥＴＮ　受益証券</t>
  </si>
  <si>
    <t>NEXT NOTES S&amp;P Singapore REIT Net Total Return Index ETN</t>
  </si>
  <si>
    <t>2046</t>
  </si>
  <si>
    <t>ＮＥＸＴ　ＮＯＴＥＳ　インドＮｉｆｔｙ・ダブル・ブル　ＥＴＮ　受益証券</t>
  </si>
  <si>
    <t>NEXT NOTES Nifty PR 2x Leverage Index ETN</t>
  </si>
  <si>
    <t>2047</t>
  </si>
  <si>
    <t>ＮＥＸＴ　ＮＯＴＥＳ　インドＮｉｆｔｙ・ベア　ＥＴＮ　受益証券</t>
  </si>
  <si>
    <t>NEXT NOTES Nifty Total Returns(TR) Daily Inverse Index ETN</t>
  </si>
  <si>
    <t>2048</t>
  </si>
  <si>
    <t>ＮＥＸＴ　ＮＯＴＥＳ　野村日本株高配当７０（ドルヘッジ、ネットリターン）ＥＴＮ　受益証券</t>
  </si>
  <si>
    <t>NEXT NOTES Nomura Japan Equity High Dividend 70,Net Total Return US Dollar Hedged Index ETN</t>
  </si>
  <si>
    <t>2050</t>
  </si>
  <si>
    <t>ＮＥＸＴ　ＮＯＴＥＳ　ニッチトップ　中小型日本株（ネットリターン）ＥＴＮ　受益証券</t>
  </si>
  <si>
    <t>NEXT NOTES Niche Top Mid Small Cap Japan Equity, Net Total Return ETN</t>
  </si>
  <si>
    <t>2065</t>
  </si>
  <si>
    <t>ＮＥＸＴ　ＮＯＴＥＳ　日本株配当貴族（ドルヘッジ、ネットリターン）ＥＴＮ　受益証券</t>
  </si>
  <si>
    <t>NEXT NOTES S&amp;P/JPX Dividend Aristocrats Index USD Hedged NTR ETN</t>
  </si>
  <si>
    <t>2066</t>
  </si>
  <si>
    <t>ＮＥＸＴ　ＮＯＴＥＳ　東証ＲＥＩＴ（ドルヘッジ、ネットリターン）ＥＴＮ　受益証券</t>
  </si>
  <si>
    <t>NEXT NOTES Tokyo Stock Exchange REIT Net Total Return US Dollar Hedged Index ETN</t>
  </si>
  <si>
    <t>2067</t>
  </si>
  <si>
    <t>ＮＥＸＴ　ＮＯＴＥＳ　野村ＡＩビジネス７０（ネットリターン）ＥＴＮ　受益証券</t>
  </si>
  <si>
    <t>NEXT NOTES AI Companies 70,Net Total Return ETN</t>
  </si>
  <si>
    <t>2068</t>
  </si>
  <si>
    <t>ＮＥＸＴ　ＮＯＴＥＳ　高ベータ３０（ネットリターン）ＥＴＮ　受益証券</t>
  </si>
  <si>
    <t>NEXT NOTES Japan Equity High Beta Select 30,Net Total Return ETN</t>
  </si>
  <si>
    <t>2069</t>
  </si>
  <si>
    <t>ＮＥＸＴ　ＮＯＴＥＳ　低ベータ５０（ネットリターン）ＥＴＮ　受益証券</t>
  </si>
  <si>
    <t>NEXT NOTES Japan Equity Low Beta Select 50,Net Total Return ETN</t>
  </si>
  <si>
    <t>2070</t>
  </si>
  <si>
    <t>スマートＥＳＧ３０女性活躍（ネットリターン）ＥＴＮ　受益証券</t>
  </si>
  <si>
    <t>Smart ESG 30 Empowering Women Net Return ETN</t>
  </si>
  <si>
    <t>2071</t>
  </si>
  <si>
    <t>スマートＥＳＧ３０総合（ネットリターン）ＥＴＮ　受益証券</t>
  </si>
  <si>
    <t>Smart ESG 30 Net Return ETN</t>
  </si>
  <si>
    <t>2072</t>
  </si>
  <si>
    <t>トップシェアインデックス（ネットリターン）ＥＴＮ　受益証券</t>
  </si>
  <si>
    <t>Market Share Leaders Net Return ETN</t>
  </si>
  <si>
    <t>2510</t>
  </si>
  <si>
    <t>ＮＥＸＴ　ＦＵＮＤＳ　国内債券・ＮＯＭＵＲＡ－ＢＰＩ総合連動型上場投信　受益証券</t>
  </si>
  <si>
    <t>NEXT FUNDS Japan Bond NOMURA-BPI Exchange Traded Fund</t>
  </si>
  <si>
    <t>2511</t>
  </si>
  <si>
    <t>ＮＥＸＴ　ＦＵＮＤＳ　外国債券・ＦＴＳＥ世界国債インデックス（除く日本・為替ヘッジなし）連動型上場投信　受益証券</t>
  </si>
  <si>
    <t>NEXT FUNDS International Bond FTSE World Government Bond Index (ex Japan Unhedged) Exchange Traded Fund</t>
  </si>
  <si>
    <t>2512</t>
  </si>
  <si>
    <t>ＮＥＸＴ　ＦＵＮＤＳ　外国債券・ＦＴＳＥ世界国債インデックス（除く日本・為替ヘッジあり）連動型上場投信　受益証券</t>
  </si>
  <si>
    <t>NEXT FUNDS International Bond FTSE World Government Bond Index (ex Japan Yen-Hedged) Exchange Traded Fund</t>
  </si>
  <si>
    <t>2513</t>
  </si>
  <si>
    <t>ＮＥＸＴ　ＦＵＮＤＳ　外国株式・ＭＳＣＩ－ＫＯＫＵＳＡＩ指数（為替ヘッジなし）連動型上場投信　受益証券</t>
  </si>
  <si>
    <t>NEXT FUNDS International Equity MSCI-KOKUSAI (Unhedged) Exchange Traded Fund</t>
  </si>
  <si>
    <t>2514</t>
  </si>
  <si>
    <t>ＮＥＸＴ　ＦＵＮＤＳ　外国株式・ＭＳＣＩ－ＫＯＫＵＳＡＩ指数（為替ヘッジあり）連動型上場投信　受益証券</t>
  </si>
  <si>
    <t>NEXT FUNDS International Equity MSCI-KOKUSAI (Yen-Hedged) Exchange Traded Fund</t>
  </si>
  <si>
    <t>2515</t>
  </si>
  <si>
    <t>ＮＥＸＴ　ＦＵＮＤＳ　外国ＲＥＩＴ・Ｓ＆Ｐ先進国ＲＥＩＴ指数（除く日本・為替ヘッジなし）連動型上場投信　受益証券</t>
  </si>
  <si>
    <t>NEXT FUNDS International REIT S&amp;P Developed REIT Index (ex Japan Unhedged) Exchange Traded Fund</t>
  </si>
  <si>
    <t>2516</t>
  </si>
  <si>
    <t>2517</t>
  </si>
  <si>
    <t>ＭＡＸＩＳ　Ｊリート・コア上場投信　受益証券</t>
  </si>
  <si>
    <t>MAXIS J-REIT Core ETF</t>
  </si>
  <si>
    <t>2518</t>
  </si>
  <si>
    <t>ＮＥＸＴ　ＦＵＮＤＳ　ＭＳＣＩ日本株女性活躍指数（セレクト）連動型上場投信　受益証券</t>
  </si>
  <si>
    <t>NEXT FUNDS MSCI Japan Empowering Women Select Index Exchange Traded Fund</t>
  </si>
  <si>
    <t>2519</t>
  </si>
  <si>
    <t>ＮＥＸＴ　ＦＵＮＤＳ　新興国債券・Ｊ．Ｐ．モルガン・エマージング・マーケット・ボンド・インデックス・プラス（為替ヘッジなし）連動型上場投信　受益証券</t>
  </si>
  <si>
    <t>NEXT FUNDS Emerging Market Bond J.P. Morgan EMBI Plus (Unhedged) Exchange Traded Fund</t>
  </si>
  <si>
    <t>2520</t>
  </si>
  <si>
    <t>ＮＥＸＴ　ＦＵＮＤＳ　新興国株式・ＭＳＣＩエマージング・マーケット・インデックス（為替ヘッジなし）連動型上場投信　受益証券</t>
  </si>
  <si>
    <t>NEXT FUNDS Emerging Market Equity MSCI-EM (Unhedged) Exchange Traded Fund</t>
  </si>
  <si>
    <t>2521</t>
  </si>
  <si>
    <t>上場インデックスファンド米国株式（Ｓ＆Ｐ５００）為替ヘッジあり　受益証券</t>
  </si>
  <si>
    <t>Listed Index Fund US Equity (S&amp;P500) Currency Hedge</t>
  </si>
  <si>
    <t>2522</t>
  </si>
  <si>
    <t>ｉシェアーズ　オートメーション　＆　ロボット　ＥＴＦ　受益証券</t>
  </si>
  <si>
    <t>iShares Automation &amp; Robot ETF</t>
  </si>
  <si>
    <t>2523</t>
  </si>
  <si>
    <t>ＭＡＸＩＳトピックス（除く金融）上場投信　受益証券</t>
  </si>
  <si>
    <t>MAXIS TOPIX Ex-Financials ETF</t>
  </si>
  <si>
    <t>2524</t>
  </si>
  <si>
    <t>ＮＺＡＭ　上場投信　ＴＯＰＩＸ　受益証券</t>
  </si>
  <si>
    <t>NZAM ETF TOPIX</t>
  </si>
  <si>
    <t>2525</t>
  </si>
  <si>
    <t>ＮＺＡＭ　上場投信　日経２２５　受益証券</t>
  </si>
  <si>
    <t>NZAM ETF Nikkei 225</t>
  </si>
  <si>
    <t>2526</t>
  </si>
  <si>
    <t>ＮＺＡＭ　上場投信　ＪＰＸ日経４００　受益証券</t>
  </si>
  <si>
    <t>NZAM ETF JPX-Nikkei400</t>
  </si>
  <si>
    <t>2527</t>
  </si>
  <si>
    <t>ＮＺＡＭ　上場投信　東証ＲＥＩＴ　Ｃｏｒｅ指数　受益証券</t>
  </si>
  <si>
    <t>NZAM ETF J-REIT Core Index</t>
  </si>
  <si>
    <t>2528</t>
  </si>
  <si>
    <t>2529</t>
  </si>
  <si>
    <t>ＮＥＸＴ　ＦＵＮＤＳ　野村株主還元７０連動型上場投信　受益証券</t>
  </si>
  <si>
    <t>NEXT FUNDS Nomura Shareholder Yield 70 Exchange Traded Fund</t>
  </si>
  <si>
    <t>2530</t>
  </si>
  <si>
    <t>ＭＡＸＩＳ　ＨｕａＡｎ中国株式（上海１８０Ａ株）上場投信　受益証券</t>
  </si>
  <si>
    <t>MAXIS HuaAn China Equity (SSE 180 index) ETF</t>
  </si>
  <si>
    <t>2552</t>
  </si>
  <si>
    <t>上場インデックスファンドＪリート（東証ＲＥＩＴ指数）隔月分配型（ミニ）　受益証券</t>
  </si>
  <si>
    <t>Listed Index Fund J-REIT (Tokyo Stock Exchange REIT Index) Bi-Monthly Dividend Payment Type (Mini)</t>
  </si>
  <si>
    <t>2553</t>
  </si>
  <si>
    <t>Ｏｎｅ　ＥＴＦ　南方　中国Ａ株　ＣＳＩ５００　受益証券</t>
  </si>
  <si>
    <t>One ETF Southern China A-Share CSI 500</t>
  </si>
  <si>
    <t>2554</t>
  </si>
  <si>
    <t>2555</t>
  </si>
  <si>
    <t>東証ＲＥＩＴ　ＥＴＦ　受益証券</t>
  </si>
  <si>
    <t>TSE REIT ETF</t>
  </si>
  <si>
    <t>2556</t>
  </si>
  <si>
    <t>Ｏｎｅ　ＥＴＦ　東証ＲＥＩＴ指数　受益証券</t>
  </si>
  <si>
    <t>One ETF Tokyo Stock Exchange REIT Index</t>
  </si>
  <si>
    <t>2557</t>
  </si>
  <si>
    <t>ＳＭＤＡＭ　トピックス上場投信　受益証券</t>
  </si>
  <si>
    <t>SMDAM TOPIX ETF</t>
  </si>
  <si>
    <t>2558</t>
  </si>
  <si>
    <t>ＭＡＸＩＳ米国株式（Ｓ＆Ｐ５００）上場投信　受益証券</t>
  </si>
  <si>
    <t>MAXIS S&amp;P500 US Equity ETF</t>
  </si>
  <si>
    <t>2559</t>
  </si>
  <si>
    <t>ＭＡＸＩＳ全世界株式（オール・カントリー）上場投信　受益証券</t>
  </si>
  <si>
    <t>MAXIS World Equity (MSCI ACWI) ETF</t>
  </si>
  <si>
    <t>2560</t>
  </si>
  <si>
    <t>ＭＡＸＩＳカーボン・エフィシェント日本株上場投信　受益証券</t>
  </si>
  <si>
    <t>MAXIS Carbon Efficient Japan Equity ETF</t>
  </si>
  <si>
    <t>2561</t>
  </si>
  <si>
    <t>ｉシェアーズ・コア　日本国債　ＥＴＦ　受益証券</t>
  </si>
  <si>
    <t>iShares Core Japan Government Bond ETF</t>
  </si>
  <si>
    <t>2562</t>
  </si>
  <si>
    <t>上場インデックスファンド米国株式（ダウ平均）為替ヘッジあり　受益証券</t>
  </si>
  <si>
    <t>Listed Index Fund US Equity (Dow Average) Currency Hedge</t>
  </si>
  <si>
    <t>2563</t>
  </si>
  <si>
    <t>ｉシェアーズ　Ｓ＆Ｐ　５００　米国株　ＥＴＦ（為替ヘッジあり）　受益証券</t>
  </si>
  <si>
    <t>iShares S&amp;P 500 JPY Hedged ETF</t>
  </si>
  <si>
    <t>2564</t>
  </si>
  <si>
    <t>グローバルＸ　ＭＳＣＩスーパーディビィデンド－日本株式　ＥＴＦ　受益証券</t>
  </si>
  <si>
    <t>Global X MSCI SuperDividend Japan ETF</t>
  </si>
  <si>
    <t>2565</t>
  </si>
  <si>
    <t>グローバルＸ　ロジスティクス・Ｊ－ＲＥＩＴ　ＥＴＦ　受益証券</t>
  </si>
  <si>
    <t>Global X Logistics J-REIT ETF</t>
  </si>
  <si>
    <t>2566</t>
  </si>
  <si>
    <t>上場インデックスファンド日経ＥＳＧリート　受益証券</t>
  </si>
  <si>
    <t>Listed Index Fund Nikkei ESG REIT</t>
  </si>
  <si>
    <t>2567</t>
  </si>
  <si>
    <t>ＮＺＡＭ　上場投信　Ｓ＆Ｐ／ＪＰＸカーボン・エフィシェント指数　受益証券</t>
  </si>
  <si>
    <t>NZAM ETF S&amp;P/JPX Carbon Efficient Index</t>
  </si>
  <si>
    <t>2568</t>
  </si>
  <si>
    <t>上場インデックスファンド米国株式（ＮＡＳＤＡＱ１００）為替ヘッジなし　受益証券</t>
  </si>
  <si>
    <t>Listed Index Fund US Equity (NASDAQ100) No Currency Hedge</t>
  </si>
  <si>
    <t>2569</t>
  </si>
  <si>
    <t>上場インデックスファンド米国株式（ＮＡＳＤＡＱ１００）為替ヘッジあり　受益証券</t>
  </si>
  <si>
    <t>Listed Index Fund US Equity (NASDAQ100) Currency Hedge</t>
  </si>
  <si>
    <t>2620</t>
  </si>
  <si>
    <t>ｉシェアーズ　米国債１－３年　ＥＴＦ　受益証券</t>
  </si>
  <si>
    <t>iShares 1-3 Year US Treasury Bond ETF</t>
  </si>
  <si>
    <t>2621</t>
  </si>
  <si>
    <t>ｉシェアーズ　米国債２０年超　ＥＴＦ（為替ヘッジあり）　受益証券</t>
  </si>
  <si>
    <t>iShares 20+ Year US Treasury Bond JPY Hedged ETF</t>
  </si>
  <si>
    <t>2622</t>
  </si>
  <si>
    <t>ｉシェアーズ　米ドル建て新興国債券　ＥＴＦ（為替ヘッジあり）　受益証券</t>
  </si>
  <si>
    <t>iShares USD Emerging Markets Bond JPY Hedged ETF</t>
  </si>
  <si>
    <t>2623</t>
  </si>
  <si>
    <t>ｉシェアーズ　ユーロ建て投資適格社債　ＥＴＦ（為替ヘッジあり）　受益証券</t>
  </si>
  <si>
    <t>iShares Euro Investment Grade Corporate Bond JPY Hedged ETF</t>
  </si>
  <si>
    <t>2624</t>
  </si>
  <si>
    <t>ｉＦｒｅｅＥＴＦ　日経２２５（年４回決算型）　受益証券</t>
  </si>
  <si>
    <t>2625</t>
  </si>
  <si>
    <t>ｉＦｒｅｅＥＴＦ　ＴＯＰＩＸ（年４回決算型）　受益証券</t>
  </si>
  <si>
    <t>2626</t>
  </si>
  <si>
    <t>グローバルＸ　デジタル・イノベーション－日本株式　ＥＴＦ　受益証券</t>
  </si>
  <si>
    <t>Global X Digital Innovation Japan ETF</t>
  </si>
  <si>
    <t>2627</t>
  </si>
  <si>
    <t>グローバルＸ　ｅコマース－日本株式　ＥＴＦ　受益証券</t>
  </si>
  <si>
    <t>Global X E-Commerce Japan ETF</t>
  </si>
  <si>
    <t xml:space="preserve">新規上場  </t>
  </si>
  <si>
    <t xml:space="preserve">New Listing  </t>
  </si>
  <si>
    <t>5</t>
  </si>
  <si>
    <t>4</t>
  </si>
  <si>
    <t>26</t>
  </si>
  <si>
    <t>12</t>
  </si>
  <si>
    <t>18</t>
  </si>
  <si>
    <t>25</t>
  </si>
  <si>
    <t>19</t>
  </si>
  <si>
    <t>31</t>
  </si>
  <si>
    <t>17</t>
  </si>
  <si>
    <t>24</t>
  </si>
  <si>
    <t>11</t>
  </si>
  <si>
    <t>ＮＥＸＴ　ＦＵＮＤＳ　ブルームバーグ米国投資適格社債（１－１０年）インデックス（為替ヘッジあり）連動型上場投信　受益証券</t>
  </si>
  <si>
    <t>NEXT FUNDS Bloomberg US Intermediate Corporate Index (JPY Hedged) Exchange Traded Fund</t>
  </si>
  <si>
    <t>2628</t>
  </si>
  <si>
    <t>ｉＦｒｅｅＥＴＦ　中国科創板５０（ＳＴＡＲ５０）　受益証券</t>
  </si>
  <si>
    <t>iFreeETF China STAR50</t>
  </si>
  <si>
    <t>2629</t>
  </si>
  <si>
    <t>ｉＦｒｅｅＥＴＦ　中国グレーターベイエリア・イノベーション１００（ＧＢＡ１００）　受益証券</t>
  </si>
  <si>
    <t>iFreeETF China GBA100</t>
  </si>
  <si>
    <t>2630</t>
  </si>
  <si>
    <t>ＭＡＸＩＳ米国株式（Ｓ＆Ｐ５００）上場投信（為替ヘッジあり）　受益証券</t>
  </si>
  <si>
    <t>MAXIS S&amp;P500 US Equity ETF (JPY Hedged)</t>
  </si>
  <si>
    <t>2631</t>
  </si>
  <si>
    <t>ＭＡＸＩＳナスダック１００上場投信　受益証券</t>
  </si>
  <si>
    <t>MAXIS NASDAQ100 ETF</t>
  </si>
  <si>
    <t>2632</t>
  </si>
  <si>
    <t>ＭＡＸＩＳナスダック１００上場投信（為替ヘッジあり）　受益証券</t>
  </si>
  <si>
    <t>MAXIS NASDAQ100 ETF (JPY Hedged)</t>
  </si>
  <si>
    <t>2633</t>
  </si>
  <si>
    <t>ＮＥＸＴ　ＦＵＮＤＳ　Ｓ＆Ｐ　５００　指数（為替ヘッジなし）連動型上場投信　受益証券</t>
  </si>
  <si>
    <t>NEXT FUNDS S&amp;P 500 (Unhedged) Exchange Traded Fund</t>
  </si>
  <si>
    <t>2634</t>
  </si>
  <si>
    <t>ＮＥＸＴ　ＦＵＮＤＳ　Ｓ＆Ｐ　５００　指数（為替ヘッジあり）連動型上場投信　受益証券</t>
  </si>
  <si>
    <t>NEXT FUNDS S&amp;P 500 (Yen-Hedged) Exchange Traded Fund</t>
  </si>
  <si>
    <t>2635</t>
  </si>
  <si>
    <t>ＮＥＸＴ　ＦＵＮＤＳ　Ｓ＆Ｐ　５００　ＥＳＧ指数連動型上場投信　受益証券</t>
  </si>
  <si>
    <t>NEXT FUNDS S&amp;P 500 ESG Index Exchange Traded Fund</t>
  </si>
  <si>
    <t>2636</t>
  </si>
  <si>
    <t>グローバルＸ　ＭＳＣＩ　ガバナンス・クオリティ－日本株式　ＥＴＦ　受益証券</t>
  </si>
  <si>
    <t>Global X MSCI Governance-Quality Japan ETF</t>
  </si>
  <si>
    <t>2637</t>
  </si>
  <si>
    <t>2638</t>
  </si>
  <si>
    <t>グローバルＸ　ロボティクス＆ＡＩ－日本株式　ＥＴＦ　受益証券</t>
  </si>
  <si>
    <t>Global X Japan Robotics &amp; AI ETF</t>
  </si>
  <si>
    <t>2639</t>
  </si>
  <si>
    <t>グローバルＸ　バイオ＆メドテック－日本株式　ＥＴＦ　受益証券</t>
  </si>
  <si>
    <t>Global X Japan Bio &amp; Med Tech ETF</t>
  </si>
  <si>
    <t>2640</t>
  </si>
  <si>
    <t>グローバルＸ　ゲーム＆アニメ－日本株式　ＥＴＦ　受益証券</t>
  </si>
  <si>
    <t>Global X Japan Games &amp; Animation ETF</t>
  </si>
  <si>
    <t>2641</t>
  </si>
  <si>
    <t>2642</t>
  </si>
  <si>
    <t>ＳＭＴ　ＥＴＦカーボン・エフィシェント日本株　受益証券</t>
  </si>
  <si>
    <t>SMT ETF Carbon Efficient Index Japan Equity</t>
  </si>
  <si>
    <t>2643</t>
  </si>
  <si>
    <t>ＮＥＸＴ　ＦＵＮＤＳ　ＭＳＣＩジャパンカントリーＥＳＧリーダーズ指数連動型上場投信　受益証券</t>
  </si>
  <si>
    <t>NEXT FUNDS MSCI Japan Country ESG Leaders Index Exchange Traded Fund</t>
  </si>
  <si>
    <t>2644</t>
  </si>
  <si>
    <t>グローバルＸ　半導体関連－日本株式　ＥＴＦ　受益証券</t>
  </si>
  <si>
    <t>Global X Japan Semiconductor ETF</t>
  </si>
  <si>
    <t>2645</t>
  </si>
  <si>
    <t>グローバルＸ　レジャー＆エンターテインメント－日本株式　ＥＴＦ　受益証券</t>
  </si>
  <si>
    <t>Global X Japan Leisure &amp; Entertainment ETF</t>
  </si>
  <si>
    <t>2646</t>
  </si>
  <si>
    <t>グローバルＸ　メタルビジネス－日本株式　ＥＴＦ　受益証券</t>
  </si>
  <si>
    <t>Global X Japan Metal Business ETF</t>
  </si>
  <si>
    <t>2647</t>
  </si>
  <si>
    <t>ＮＥＸＴ　ＦＵＮＤＳ　ブルームバーグ米国国債（７－１０年）インデックス（為替ヘッジなし）連動型上場投信　受益証券</t>
  </si>
  <si>
    <t>NEXT FUNDS Bloomberg US Treasury Bond (7-10 year) Index (Unhedged) Exchange Traded Fund</t>
  </si>
  <si>
    <t>2648</t>
  </si>
  <si>
    <t>ＮＥＸＴ　ＦＵＮＤＳ　ブルームバーグ米国国債（７－１０年）インデックス（為替ヘッジあり）連動型上場投信　受益証券</t>
  </si>
  <si>
    <t>NEXT FUNDS Bloomberg US Treasury Bond (7-10 year) Index (Yen-Hedged) Exchange Traded Fund</t>
  </si>
  <si>
    <t>2649</t>
  </si>
  <si>
    <t>ｉシェアーズ　米国政府系機関ジニーメイＭＢＳ　ＥＴＦ（為替ヘッジあり）　受益証券</t>
  </si>
  <si>
    <t>iShares Ginnie Mae MBS JPY Hedged ETF</t>
  </si>
  <si>
    <t>2836</t>
  </si>
  <si>
    <t>グローバルＸ　フィンテック－日本株式　ＥＴＦ　受益証券</t>
  </si>
  <si>
    <t>Global X Japan Fintech ETF</t>
  </si>
  <si>
    <t>2837</t>
  </si>
  <si>
    <t>2838</t>
  </si>
  <si>
    <t>ＭＡＸＩＳ米国国債７－１０年上場投信（為替ヘッジなし）　受益証券</t>
  </si>
  <si>
    <t>MAXIS US Treasury Bond 7-10 Year ETF (Unhedged)</t>
  </si>
  <si>
    <t>2839</t>
  </si>
  <si>
    <t>ＭＡＸＩＳ米国国債７－１０年上場投信（為替ヘッジあり）　受益証券</t>
  </si>
  <si>
    <t>MAXIS US Treasury Bond 7-10 Year ETF (JPY Hedged)</t>
  </si>
  <si>
    <t>10</t>
  </si>
  <si>
    <t>16</t>
  </si>
  <si>
    <t>整</t>
  </si>
  <si>
    <t>2840</t>
  </si>
  <si>
    <t>ｉＦｒｅｅＥＴＦ　ＮＡＳＤＡＱ１００（為替ヘッジなし）　受益証券</t>
  </si>
  <si>
    <t>iFreeETF NASDAQ100 (NON HEDGED)</t>
  </si>
  <si>
    <t>2841</t>
  </si>
  <si>
    <t>ｉＦｒｅｅＥＴＦ　ＮＡＳＤＡＱ１００（為替ヘッジあり）　受益証券</t>
  </si>
  <si>
    <t>iFreeETF NASDAQ100 (JPY HEDGED)</t>
  </si>
  <si>
    <t>2842</t>
  </si>
  <si>
    <t>ｉＦｒｅｅＥＴＦ　ＮＡＳＤＡＱ１００インバース　受益証券</t>
  </si>
  <si>
    <t>iFreeETF NASDAQ100 Inverse</t>
  </si>
  <si>
    <t>2843</t>
  </si>
  <si>
    <t>上場インデックスファンド豪州国債（為替ヘッジあり）　受益証券</t>
  </si>
  <si>
    <t>Listed Index Fund Australian Government Bond (Currency Hedge)</t>
  </si>
  <si>
    <t>2844</t>
  </si>
  <si>
    <t>上場インデックスファンド豪州国債（為替ヘッジなし）　受益証券</t>
  </si>
  <si>
    <t>Listed Index Fund Australian Government Bond (No Currency Hedge)</t>
  </si>
  <si>
    <t>30</t>
  </si>
  <si>
    <t>23</t>
  </si>
  <si>
    <t>ＮＥＸＴ　ＦＵＮＤＳ　ＮＡＳＤＡＱ－１００（為替ヘッジなし）連動型上場投信　受益証券</t>
  </si>
  <si>
    <t>NEXT FUNDS NASDAQ-100(R) (Unhedged) Exchange Traded Fund</t>
  </si>
  <si>
    <t>ＮＥＸＴ　ＦＵＮＤＳ　ダウ・ジョーンズ工業株３０種平均株価（為替ヘッジなし）連動型上場投信　受益証券</t>
  </si>
  <si>
    <t>NEXT FUNDS DJIA (Unhedged) Exchange Traded Fund</t>
  </si>
  <si>
    <t>2073</t>
  </si>
  <si>
    <t>スマートＥＳＧ３０低カーボンリスク（ネットリターン）ＥＴＮ　受益証券</t>
  </si>
  <si>
    <t>Smart ESG 30 Low Carbon Risk Net Return ETN</t>
  </si>
  <si>
    <t>2845</t>
  </si>
  <si>
    <t>ＮＥＸＴ　ＦＵＮＤＳ　ＮＡＳＤＡＱ－１００（為替ヘッジあり）連動型上場投信　受益証券</t>
  </si>
  <si>
    <t>NEXT FUNDS NASDAQ-100(R) (Yen-Hedged) Exchange Traded Fund</t>
  </si>
  <si>
    <t>2846</t>
  </si>
  <si>
    <t>ＮＥＸＴ　ＦＵＮＤＳ　ダウ・ジョーンズ工業株３０種平均株価（為替ヘッジあり）連動型上場投信　受益証券</t>
  </si>
  <si>
    <t>NEXT FUNDS DJIA (Yen-Hedged) Exchange Traded Fund</t>
  </si>
  <si>
    <t>2847</t>
  </si>
  <si>
    <t>グローバルＸ　新成長インフラ－日本株式　ＥＴＦ　受益証券</t>
  </si>
  <si>
    <t>Global X Japan New Growth Infrastructure ETF</t>
  </si>
  <si>
    <t>2848</t>
  </si>
  <si>
    <t>グローバルＸ　ＭＳＣＩ　気候変動対応－日本株式　ＥＴＦ　受益証券</t>
  </si>
  <si>
    <t>Global X MSCI Japan Climate Change ETF</t>
  </si>
  <si>
    <t>2849</t>
  </si>
  <si>
    <t>グローバルＸ　Ｍｏｒｎｉｎｇｓｔａｒ　高配当　ＥＳＧ－日本株式　ＥＴＦ　受益証券</t>
  </si>
  <si>
    <t>Global X Morningstar Japan High Dividend ESG ETF</t>
  </si>
  <si>
    <t>2850</t>
  </si>
  <si>
    <t>ＮＥＸＴ　ＦＵＮＤＳ　ＳｏｌａｃｔｉｖｅジャパンＥＳＧコア指数連動型上場投信　受益証券</t>
  </si>
  <si>
    <t>NEXT FUNDS Solactive Japan ESG Core Index Exchange Traded Fund</t>
  </si>
  <si>
    <t>2852</t>
  </si>
  <si>
    <t>ｉシェアーズ　グリーンＪリート　ＥＴＦ　受益証券</t>
  </si>
  <si>
    <t>iShares Japan Green REIT ETF</t>
  </si>
  <si>
    <t>2853</t>
  </si>
  <si>
    <t>ｉシェアーズ　気候リスク調整世界国債　ＥＴＦ（除く日本・為替ヘッジあり）　受益証券</t>
  </si>
  <si>
    <t>iShares Climate Risk-Adjusted Global ex Japan Government Bond JPY Hedged ETF</t>
  </si>
  <si>
    <t>ＮＥＸＴ　ＦＵＮＤＳ　ロシア株式指数連動型上場投信　受益証券</t>
  </si>
  <si>
    <t>NEXT FUNDS Russian Equity Index Exchange Traded Fund</t>
  </si>
  <si>
    <t>2851</t>
  </si>
  <si>
    <t>ｉシェアーズ　ＭＳＣＩ　ジャパンＳＲＩ　ＥＴＦ　受益証券</t>
  </si>
  <si>
    <t>iShares MSCI Japan SRI ETF</t>
  </si>
  <si>
    <t>2854</t>
  </si>
  <si>
    <t>グローバルＸ　テック・トップ２０－日本株式　ＥＴＦ　受益証券</t>
  </si>
  <si>
    <t>Global X Japan Tech Top 20 ETF</t>
  </si>
  <si>
    <t>2855</t>
  </si>
  <si>
    <t>グローバルＸ　グリーン・Ｊ－ＲＥＩＴ　ＥＴＦ　受益証券</t>
  </si>
  <si>
    <t>Global X Green J-REIT ETF</t>
  </si>
  <si>
    <t>2856</t>
  </si>
  <si>
    <t>ｉシェアーズ　米国債３－７年　ＥＴＦ（為替ヘッジあり）　受益証券</t>
  </si>
  <si>
    <t>iShares 3-7 Year US Treasury Bond JPY Hedged ETF</t>
  </si>
  <si>
    <t>2857</t>
  </si>
  <si>
    <t>ｉシェアーズ　ドイツ国債　ＥＴＦ（為替ヘッジあり）　受益証券</t>
  </si>
  <si>
    <t>iShares Germany Government Bond JPY Hedged ETF</t>
  </si>
  <si>
    <t>2858</t>
  </si>
  <si>
    <t>グローバルＸ　日経２２５　カバード・コール　ＥＴＦ（プレミアム再投資型）　受益証券</t>
  </si>
  <si>
    <t>Global X Nikkei 225 Covered Call ETF (option premium reinvestment type)</t>
  </si>
  <si>
    <t>2861</t>
  </si>
  <si>
    <t>上場インデックスファンドフランス国債（為替ヘッジなし）　受益証券</t>
  </si>
  <si>
    <t>Listed Index Fund France Government Bond (No Currency Hedge)</t>
  </si>
  <si>
    <t>2862</t>
  </si>
  <si>
    <t>上場インデックスファンドフランス国債（為替ヘッジあり）　受益証券</t>
  </si>
  <si>
    <t>Listed Index Fund France Government Bond (Currency Hedge)</t>
  </si>
  <si>
    <t>2859</t>
  </si>
  <si>
    <t>ＮＥＸＴ　ＦＵＮＤＳ　ユーロ・ストックス５０指数（為替ヘッジあり）連動型上場投信　受益証券</t>
  </si>
  <si>
    <t>NEXT FUNDS EURO STOXX 50 (Yen-Hedged) Exchange Traded Fund</t>
  </si>
  <si>
    <t>2860</t>
  </si>
  <si>
    <t>ＮＥＸＴ　ＦＵＮＤＳ　ドイツ株式・ＤＡＸ（為替ヘッジあり）連動型上場投信　受益証券</t>
  </si>
  <si>
    <t>NEXT FUNDS German Equity DAX (Yen-Hedged) Exchange Traded Fund</t>
  </si>
  <si>
    <t>2863</t>
  </si>
  <si>
    <t>ＮＥＸＴ　ＦＵＮＤＳ　Ｓ＆Ｐ米国株式・債券バランス保守型指数（為替ヘッジあり）連動型上場投信　受益証券</t>
  </si>
  <si>
    <t>NEXT FUNDS S&amp;P US Equity and Bond Balance Conservative Index (Yen-Hedged) Exchange Traded Fund</t>
  </si>
  <si>
    <t>2864</t>
  </si>
  <si>
    <t>グローバルＸ　ロジスティクス・ＲＥＩＴ　ＥＴＦ　受益証券</t>
  </si>
  <si>
    <t>Global X Logistics REIT ETF</t>
  </si>
  <si>
    <t>2865</t>
  </si>
  <si>
    <t>グローバルＸ　ＮＡＳＤＡＱ１００・カバード・コール　ＥＴＦ　受益証券</t>
  </si>
  <si>
    <t>Global X Nasdaq 100 Covered Call ETF</t>
  </si>
  <si>
    <t>2866</t>
  </si>
  <si>
    <t>グローバルＸ　米国優先証券　ＥＴＦ　受益証券</t>
  </si>
  <si>
    <t>Global X U.S. Preferred Security ETF</t>
  </si>
  <si>
    <t>東証スタンダードＴＯＰ２０ＥＴＦ　受益証券</t>
  </si>
  <si>
    <t>TSE Standard Top 20 ETF</t>
  </si>
  <si>
    <t>東証グロース・コアＥＴＦ　受益証券</t>
  </si>
  <si>
    <t>TSE Growth Core ETF</t>
  </si>
  <si>
    <t>2867</t>
  </si>
  <si>
    <t>グローバルＸ　自動運転＆ＥＶ　ＥＴＦ　受益証券</t>
  </si>
  <si>
    <t>Global X Autonomous &amp; EV ETF</t>
  </si>
  <si>
    <t>2868</t>
  </si>
  <si>
    <t>グローバルＸ　Ｓ＆Ｐ５００・カバード・コール　ＥＴＦ　受益証券</t>
  </si>
  <si>
    <t>Global X S&amp;P 500 Covered Call ETF</t>
  </si>
  <si>
    <t>2869</t>
  </si>
  <si>
    <t>ｉＦｒｅｅＥＴＦ　ＮＡＳＤＡＱ１００レバレッジ　受益証券</t>
  </si>
  <si>
    <t>2870</t>
  </si>
  <si>
    <t>ｉＦｒｅｅＥＴＦ　ＮＡＳＤＡＱ１００ダブルインバース　受益証券</t>
  </si>
  <si>
    <t>2235</t>
  </si>
  <si>
    <t>上場インデックスファンド米国株式（ダウ平均）為替ヘッジなし　受益証券</t>
  </si>
  <si>
    <t>Listed Index Fund US Equity (Dow Average) No Currency Hedge</t>
  </si>
  <si>
    <t>2236</t>
  </si>
  <si>
    <t>グローバルＸ　Ｓ＆Ｐ５００配当貴族ＥＴＦ　受益証券</t>
  </si>
  <si>
    <t>Global X S&amp;P 500 Dividend Aristocrats ETF</t>
  </si>
  <si>
    <t>22</t>
  </si>
  <si>
    <t>15</t>
  </si>
  <si>
    <t>9</t>
  </si>
  <si>
    <t>2237</t>
  </si>
  <si>
    <t>ｉＦｒｅｅＥＴＦ　Ｓ＆Ｐ５００レバレッジ　受益証券</t>
  </si>
  <si>
    <t>iFreeETF S&amp;P500 Leveraged (2x)</t>
  </si>
  <si>
    <t>2238</t>
  </si>
  <si>
    <t>ｉＦｒｅｅＥＴＦ　Ｓ＆Ｐ５００インバース　受益証券</t>
  </si>
  <si>
    <t>iFreeETF S&amp;P500 Inverse</t>
  </si>
  <si>
    <t>29</t>
  </si>
  <si>
    <t>2239</t>
  </si>
  <si>
    <t>上場インデックスファンドＳ＆Ｐ５００先物レバレッジ２倍　受益証券</t>
  </si>
  <si>
    <t>Listed Index Fund S&amp;P500 Futures Leveraged Two Times</t>
  </si>
  <si>
    <t>2240</t>
  </si>
  <si>
    <t>上場インデックスファンドＳ＆Ｐ５００先物インバース　受益証券</t>
  </si>
  <si>
    <t>Listed Index Fund S&amp;P500 Futures Inverse</t>
  </si>
  <si>
    <t>2241</t>
  </si>
  <si>
    <t>ＭＡＸＩＳ　ＮＹダウ上場投信　受益証券</t>
  </si>
  <si>
    <t>MAXIS NY Dow Industrial Average ETF</t>
  </si>
  <si>
    <t>2242</t>
  </si>
  <si>
    <t>ＭＡＸＩＳ　ＮＹダウ上場投信（為替ヘッジあり）　受益証券</t>
  </si>
  <si>
    <t>MAXIS NY Dow Industrial Average ETF (JPY Hedged)</t>
  </si>
  <si>
    <t>ｉＦｒｅｅＥＴＦ　ＴＯＰＩＸ（年１回決算型）　受益証券</t>
  </si>
  <si>
    <t>iFreeETF TOPIX (Yearly Dividend Type)</t>
  </si>
  <si>
    <t>ｉＦｒｅｅＥＴＦ　日経２２５（年１回決算型）　受益証券</t>
  </si>
  <si>
    <t>iFreeETF Nikkei225 (Yearly Dividend Type)</t>
  </si>
  <si>
    <t>ｉＦｒｅｅＥＴＦ　日経平均レバレッジ・インデックス　受益証券</t>
  </si>
  <si>
    <t>iFreeETF Nikkei225 Leveraged Index</t>
  </si>
  <si>
    <t>ｉＦｒｅｅＥＴＦ　日経平均ダブルインバース・インデックス　受益証券</t>
  </si>
  <si>
    <t>iFreeETF Nikkei225 Double Inverse Index</t>
  </si>
  <si>
    <t>ｉＦｒｅｅＥＴＦ　ＴＯＰＩＸレバレッジ（２倍）指数　受益証券</t>
  </si>
  <si>
    <t>iFreeETF TOPIX Leveraged (2x) Index</t>
  </si>
  <si>
    <t>ｉＦｒｅｅＥＴＦ　ＴＯＰＩＸダブルインバース（－２倍）指数　受益証券</t>
  </si>
  <si>
    <t>iFreeETF TOPIX Double Inverse (-2x) Index</t>
  </si>
  <si>
    <t>ｉＦｒｅｅＥＴＦ　日経平均インバース・インデックス　受益証券</t>
  </si>
  <si>
    <t>iFreeETF Nikkei225 Inverse Index</t>
  </si>
  <si>
    <t>ｉＦｒｅｅＥＴＦ　ＴＯＰＩＸインバース（－１倍）指数　受益証券</t>
  </si>
  <si>
    <t>iFreeETF TOPIX Inverse (-1x) Index</t>
  </si>
  <si>
    <t>ｉＦｒｅｅＥＴＦ　ＪＰＸ日経４００レバレッジ・インデックス　受益証券</t>
  </si>
  <si>
    <t>iFreeETF JPX-Nikkei400 Leveraged (2x) Index</t>
  </si>
  <si>
    <t>ｉＦｒｅｅＥＴＦ　ＪＰＸ日経４００インバース・インデックス　受益証券</t>
  </si>
  <si>
    <t>iFreeETF JPX-Nikkei400 Inverse (-1x) Index</t>
  </si>
  <si>
    <t>ｉＦｒｅｅＥＴＦ　ＪＰＸ日経４００ダブルインバース・インデックス　受益証券</t>
  </si>
  <si>
    <t>iFreeETF JPX-Nikkei400 Double Inverse (-2x) Index</t>
  </si>
  <si>
    <t>ｉＦｒｅｅＥＴＦ　ＭＳＣＩ日本株人材設備投資指数　受益証券</t>
  </si>
  <si>
    <t>iFreeETF MSCI Japan Human and Physical Investment Index</t>
  </si>
  <si>
    <t>ｉＦｒｅｅＥＴＦ　東証ＲＥＩＴ指数　受益証券</t>
  </si>
  <si>
    <t>iFreeETF Tokyo Stock Exchange REIT Index</t>
  </si>
  <si>
    <t>ｉＦｒｅｅＥＴＦ　ＴＯＰＩＸ　Ｅｘ－Ｆｉｎａｎｃｉａｌｓ　受益証券</t>
  </si>
  <si>
    <t>iFreeETF TOPIX Ex-Financials</t>
  </si>
  <si>
    <t>ｉＦｒｅｅＥＴＦ　ＪＰＸ日経４００　受益証券</t>
  </si>
  <si>
    <t>iFreeETF JPX-Nikkei400</t>
  </si>
  <si>
    <t>ｉＦｒｅｅＥＴＦ　ＴＯＰＩＸ高配当４０指数　受益証券</t>
  </si>
  <si>
    <t>iFreeETF TOPIX High Dividend Yield 40 Index</t>
  </si>
  <si>
    <t>ｉＦｒｅｅＥＴＦ　ＭＳＣＩ日本株女性活躍指数（ＷＩＮ）　受益証券</t>
  </si>
  <si>
    <t>iFreeETF MSCI Japan Empowering Women Index (WIN)</t>
  </si>
  <si>
    <t>ｉＦｒｅｅＥＴＦ　ＭＳＣＩジャパンＥＳＧセレクト・リーダーズ指数　受益証券</t>
  </si>
  <si>
    <t>iFreeETF MSCI Japan ESG Select Leaders Index</t>
  </si>
  <si>
    <t>ｉＦｒｅｅＥＴＦ　ＦＴＳＥ　Ｂｌｏｓｓｏｍ　Ｊａｐａｎ　Ｉｎｄｅｘ　受益証券</t>
  </si>
  <si>
    <t>iFreeETF FTSE Blossom Japan Index</t>
  </si>
  <si>
    <t>2243</t>
  </si>
  <si>
    <t>グローバルＸ　半導体　ＥＴＦ　受益証券</t>
  </si>
  <si>
    <t>Global X Semiconductor ETF</t>
  </si>
  <si>
    <t>2244</t>
  </si>
  <si>
    <t>グローバルＸ　ＵＳ　テック・トップ２０　ＥＴＦ　受益証券</t>
  </si>
  <si>
    <t>Global X US Tech Top 20 ETF</t>
  </si>
  <si>
    <t>2245</t>
  </si>
  <si>
    <t>ＮＥＸＴ　ＦＵＮＤＳ　ブルームバーグ・ドイツ国債（７－１０年）インデックス（為替ヘッジあり）連動型上場投信　受益証券</t>
  </si>
  <si>
    <t>NEXT FUNDS Bloomberg Germany Treasury Bond (7-10 year) Index (Yen-Hedged) Exchange Traded Fund</t>
  </si>
  <si>
    <t>2246</t>
  </si>
  <si>
    <t>ＮＥＸＴ　ＦＵＮＤＳ　ブルームバーグ・フランス国債（７－１０年）インデックス（為替ヘッジあり）連動型上場投信　受益証券</t>
  </si>
  <si>
    <t>NEXT FUNDS Bloomberg France Treasury Bond (7-10 year) Index (Yen-Hedged) Exchange Traded Fund</t>
  </si>
  <si>
    <t>ｉＦｒｅｅＥＴＦ　東証ＲＥＩＴ　Ｃｏｒｅ指数　受益証券</t>
  </si>
  <si>
    <t>iFreeETF Tokyo Stock Exchange REIT Core Index</t>
  </si>
  <si>
    <t>iFreeETF Nikkei225 (Quarterly Dividend Type)</t>
  </si>
  <si>
    <t>iFreeETF TOPIX (Quarterly Dividend Type)</t>
  </si>
  <si>
    <t>iFreeETF NASDAQ100 Leveraged (2x)</t>
  </si>
  <si>
    <t>iFreeETF NASDAQ100 Double Inverse (-2x)</t>
  </si>
  <si>
    <t>2247</t>
  </si>
  <si>
    <t>ｉＦｒｅｅＥＴＦ　Ｓ＆Ｐ５００（為替ヘッジなし）　受益証券</t>
  </si>
  <si>
    <t>iFreeETF S&amp;P500 (NON HEDGED)</t>
  </si>
  <si>
    <t>2248</t>
  </si>
  <si>
    <t>ｉＦｒｅｅＥＴＦ　Ｓ＆Ｐ５００（為替ヘッジあり）　受益証券</t>
  </si>
  <si>
    <t>iFreeETF S&amp;P500 (JPY HEDGED)</t>
  </si>
  <si>
    <t>2249</t>
  </si>
  <si>
    <t>ｉＦｒｅｅＥＴＦ　Ｓ＆Ｐ５００ダブルインバース　受益証券</t>
  </si>
  <si>
    <t>iFreeETF S&amp;P500 Double Inverse (-2x)</t>
  </si>
  <si>
    <t>2250</t>
  </si>
  <si>
    <t>ｉシェアーズ　ＭＳＣＩ　ジャパン気候変動アクション　ＥＴＦ　受益証券</t>
  </si>
  <si>
    <t>iShares MSCI Japan Climate Action ETF</t>
  </si>
  <si>
    <t>2251</t>
  </si>
  <si>
    <t>ＮＥＸＴ　ＦＵＮＤＳ　ＪＰＸ国債先物ダブルインバース指数連動型上場投信　受益証券</t>
  </si>
  <si>
    <t>NEXT FUNDS JPX JGB Futures Double Inverse Index Exchange Traded Fund</t>
  </si>
  <si>
    <t>ＮＥＸＴ　ＦＵＮＤＳ　東証ＲＥＩＴ　指数連動型上場投信　受益証券</t>
  </si>
  <si>
    <t>Listed Index Fund J-REIT (Tokyo Stock Exchange REIT Index)Bi-Monthly Dividend Payment Type</t>
  </si>
  <si>
    <t>MAXIS NIKKEI 225 ETF</t>
  </si>
  <si>
    <t>NEXT FUNDS Nikkei 225 Double Inverse Index Exchange Traded Fund</t>
  </si>
  <si>
    <t>上場インデックスファンド豪州リート（Ｓ＆Ｐ／ＡＳＸ２００　Ａ－ＲＥＩＴ）　受益証券</t>
  </si>
  <si>
    <t>NEXT FUNDS Nomura Japan Equity High Dividend 70 Exchange Traded Fund</t>
  </si>
  <si>
    <t>ｉシェアーズ・コア　ＭＳＣＩ　先進国株（除く日本）ＥＴＦ　受益証券</t>
  </si>
  <si>
    <t>ＮＥＸＴ　ＦＵＮＤＳ　インド株式指数・Ｎｉｆｔｙ　５０　連動型上場投信　受益証券</t>
  </si>
  <si>
    <t>Ｓｉｍｐｌｅ－Ｘ　ＮＹ　ダウ・ジョーンズ・インデックス上場投信　受益証券</t>
  </si>
  <si>
    <t>Listed Index Fund International Developed Countries Equity (MSCI-KOKUSAI)</t>
  </si>
  <si>
    <t>上場インデックスファンド海外新興国株式（ＭＳＣＩ　エマージング）　受益証券</t>
  </si>
  <si>
    <t>Listed Index Fund International Emerging Countries Equity (MSCI EMERGING)</t>
  </si>
  <si>
    <t>Listed Index Fund Japan High Dividend (TSE Dividend Focus 100)</t>
  </si>
  <si>
    <t>ＮＥＸＴ　ＦＵＮＤＳ　ＮＯＭＵＲＡ　原油インデックス連動型上場投信　受益証券</t>
  </si>
  <si>
    <t>NEXT FUNDS NOMURA Crude Oil Long Index Linked Exchange Traded Fund</t>
  </si>
  <si>
    <t>2252</t>
  </si>
  <si>
    <t>グローバルＸ　Ｍｏｒｎｉｎｇｓｔａｒ　米国中小型　Ｍｏａｔ　ＥＴＦ　受益証券</t>
  </si>
  <si>
    <t>Global X Morningstar US Small Mid Moat ETF</t>
  </si>
  <si>
    <t>2253</t>
  </si>
  <si>
    <t>グローバルＸ　スーパーディビィデンド－ＵＳ　ＥＴＦ　受益証券</t>
  </si>
  <si>
    <t>Global X SuperDividend U.S. ETF</t>
  </si>
  <si>
    <t>2254</t>
  </si>
  <si>
    <t>グローバルＸ　チャイナＥＶ＆バッテリー　ＥＴＦ　受益証券</t>
  </si>
  <si>
    <t>Global X China Electric Vehicle and Battery ETF</t>
  </si>
  <si>
    <t>2080</t>
  </si>
  <si>
    <t>ＰＢＲ１倍割れ解消推進ＥＴＦ　受益証券</t>
  </si>
  <si>
    <t>PBR Improvement over 1x ETF</t>
  </si>
  <si>
    <t>2081</t>
  </si>
  <si>
    <t>政策保有解消推進ＥＴＦ　受益証券</t>
  </si>
  <si>
    <t>Strategic Shareholding Disposal Promotion ETF</t>
  </si>
  <si>
    <t>2082</t>
  </si>
  <si>
    <t>投資家経営者一心同体ＥＴＦ　受益証券</t>
  </si>
  <si>
    <t>Investor-Management Unite as One ETF</t>
  </si>
  <si>
    <t>2083</t>
  </si>
  <si>
    <t>ＮＥＸＴ　ＦＵＮＤＳ　日本成長株アクティブ上場投信　受益証券</t>
  </si>
  <si>
    <t>NEXT FUNDS Japan Growth Equity Active Exchange Traded Fund</t>
  </si>
  <si>
    <t>2084</t>
  </si>
  <si>
    <t>ＮＥＸＴ　ＦＵＮＤＳ　日本高配当株アクティブ上場投信　受益証券</t>
  </si>
  <si>
    <t>NEXT FUNDS Japan High Dividend Equity Active Exchange Traded Fund</t>
  </si>
  <si>
    <t>2085</t>
  </si>
  <si>
    <t>ＭＡＸＩＳ高配当日本株アクティブ上場投信　受益証券</t>
  </si>
  <si>
    <t>MAXIS High Dividend Japan Equity Actively Managed ETF</t>
  </si>
  <si>
    <t>2086</t>
  </si>
  <si>
    <t>ＮＺＡＭ　上場投信　Ｓ＆Ｐ５００（為替ヘッジあり）　受益証券</t>
  </si>
  <si>
    <t>NZAM ETF S&amp;P500 (JPY Hedged)</t>
  </si>
  <si>
    <t>2087</t>
  </si>
  <si>
    <t>ＮＺＡＭ　上場投信　ＮＡＳＤＡＱ１００（為替ヘッジあり）　受益証券</t>
  </si>
  <si>
    <t>NZAM ETF NASDAQ100 (JPY Hedged)</t>
  </si>
  <si>
    <t>2088</t>
  </si>
  <si>
    <t>ＮＺＡＭ　上場投信　ＮＹダウ３０（為替ヘッジあり）　受益証券</t>
  </si>
  <si>
    <t>NZAM ETF NY Dow30 (JPY Hedged)</t>
  </si>
  <si>
    <t>2089</t>
  </si>
  <si>
    <t>ＮＺＡＭ　上場投信　ＤＡＸ（為替ヘッジあり）　受益証券</t>
  </si>
  <si>
    <t>NZAM ETF DAX (JPY Hedged)</t>
  </si>
  <si>
    <t>2090</t>
  </si>
  <si>
    <t>ＮＺＡＭ　上場投信　米国国債７－１０年（為替ヘッジあり）　受益証券</t>
  </si>
  <si>
    <t>NZAM ETF US Treasury 7-10Y (JPY Hedged)</t>
  </si>
  <si>
    <t>2091</t>
  </si>
  <si>
    <t>ＮＺＡＭ　上場投信　ドイツ国債７－１０年（為替ヘッジあり）　受益証券</t>
  </si>
  <si>
    <t>NZAM ETF German Government Bond 7-10Y (JPY Hedged)</t>
  </si>
  <si>
    <t>2092</t>
  </si>
  <si>
    <t>ＮＺＡＭ　上場投信　フランス国債７－１０年（為替ヘッジあり）　受益証券</t>
  </si>
  <si>
    <t>NZAM ETF France Government Bond 7-10Y (JPY Hedged)</t>
  </si>
  <si>
    <t>Global X Japan Mid &amp; Small Cap Leaders ETF</t>
  </si>
  <si>
    <t>グローバルＸ　中小型リーダーズ－日本株式　ＥＴＦ　受益証券</t>
  </si>
  <si>
    <t>Global X Japan Global Leaders ETF</t>
  </si>
  <si>
    <t>グローバルＸ　グローバルリーダーズ－日本株式　ＥＴＦ　受益証券</t>
  </si>
  <si>
    <t>Global X CleanTech Japan ETF</t>
  </si>
  <si>
    <t>グローバルＸ　クリーンテック－日本株式　ＥＴＦ　受益証券</t>
  </si>
  <si>
    <t>Global X Hotel &amp; Retail J-REIT ETF</t>
  </si>
  <si>
    <t>グローバルＸ　ホテル＆リテール・Ｊ－ＲＥＩＴ　ＥＴＦ　受益証券</t>
  </si>
  <si>
    <t>2098</t>
  </si>
  <si>
    <t>Global X Residential J-REIT ETF</t>
  </si>
  <si>
    <t>グローバルＸ　レジデンシャル・Ｊ－ＲＥＩＴ　ＥＴＦ　受益証券</t>
  </si>
  <si>
    <t>2097</t>
  </si>
  <si>
    <t>Global X Office J-REIT ETF</t>
  </si>
  <si>
    <t>グローバルＸ　オフィス・Ｊ－ＲＥＩＴ　ＥＴＦ　受益証券</t>
  </si>
  <si>
    <t>2096</t>
  </si>
  <si>
    <t>Global X S&amp;P 500 Dividend Aristocrats ETF (JPY Hedged)</t>
  </si>
  <si>
    <t>グローバルＸ　Ｓ＆Ｐ５００配当貴族　ＥＴＦ（為替ヘッジあり）　受益証券</t>
  </si>
  <si>
    <t>2095</t>
  </si>
  <si>
    <t>TSE REIT Inverse ETF</t>
  </si>
  <si>
    <t>東証ＲＥＩＴインバースＥＴＦ　受益証券</t>
  </si>
  <si>
    <t>2094</t>
  </si>
  <si>
    <t>Listed Tracers US Government Bond 0-2years Ladder (No Currency Hedge)</t>
  </si>
  <si>
    <t>上場Ｔｒａｃｅｒｓ　米国債０－２年ラダー（為替ヘッジなし）　受益証券</t>
  </si>
  <si>
    <t>2093</t>
  </si>
  <si>
    <t>2011</t>
  </si>
  <si>
    <t>ＳＭＤＡＭ　Ａｃｔｉｖｅ　ＥＴＦ　日本高配当株式　受益証券</t>
  </si>
  <si>
    <t>SMDAM Active ETF Japan High Dividend Equity</t>
  </si>
  <si>
    <t>ＮＥＸＴ　ＮＯＴＥＳ　東証グロース市場２５０　ＥＴＮ　受益証券</t>
  </si>
  <si>
    <t>NEXT NOTES Tokyo Stock Exchange Growth Market 250 Index ETN</t>
  </si>
  <si>
    <t>2255</t>
  </si>
  <si>
    <t>ｉシェアーズ　米国債２０年超　ＥＴＦ　受益証券</t>
  </si>
  <si>
    <t>iShares 20+ Year US Treasury Bond ETF</t>
  </si>
  <si>
    <t>2256</t>
  </si>
  <si>
    <t>ｉシェアーズ　米国総合債券　ＥＴＦ　受益証券</t>
  </si>
  <si>
    <t>iShares US Aggregate Bond ETF</t>
  </si>
  <si>
    <t>2257</t>
  </si>
  <si>
    <t>ｉシェアーズ　米ドル建て投資適格社債　ＥＴＦ　受益証券</t>
  </si>
  <si>
    <t>iShares USD Investment Grade Corporate Bond ETF</t>
  </si>
  <si>
    <t>2258</t>
  </si>
  <si>
    <t>ｉシェアーズ　米ドル建てハイイールド社債　ＥＴＦ　受益証券</t>
  </si>
  <si>
    <t>iShares USD High Yield Corporate Bond ETF</t>
  </si>
  <si>
    <t>2259</t>
  </si>
  <si>
    <t>ｉシェアーズ　フランス国債７－１０年　ＥＴＦ（為替ヘッジあり）　受益証券</t>
  </si>
  <si>
    <t>iShares 7-10 Year France Government Bond JPY Hedged ETF</t>
  </si>
  <si>
    <t>東証グロース２５０ＥＴＦ　受益証券</t>
  </si>
  <si>
    <t>TSE Growth 250 ETF</t>
  </si>
  <si>
    <t xml:space="preserve">新株落ち  </t>
  </si>
  <si>
    <t xml:space="preserve">ex-subscription right  </t>
  </si>
  <si>
    <t>2024/01</t>
  </si>
  <si>
    <t>133A</t>
  </si>
  <si>
    <t>グローバルＸ　超短期米国債　ＥＴＦ　受益証券</t>
  </si>
  <si>
    <t>Global X Ultra Short-Term T-Bill ETF</t>
  </si>
  <si>
    <t xml:space="preserve">2024/01/31  </t>
  </si>
  <si>
    <t>2012</t>
  </si>
  <si>
    <t>ｉシェアーズ　米国債０－３ヶ月　ＥＴＦ　受益証券</t>
  </si>
  <si>
    <t>iShares 0-3 Month US Treasury Bond ETF</t>
  </si>
  <si>
    <t xml:space="preserve">2024/01/18  </t>
  </si>
  <si>
    <t>2013</t>
  </si>
  <si>
    <t>ｉシェアーズ　米国高配当株　ＥＴＦ　受益証券</t>
  </si>
  <si>
    <t>iShares US High Dividend ETF</t>
  </si>
  <si>
    <t>2014</t>
  </si>
  <si>
    <t>ｉシェアーズ　米国連続増配株　ＥＴＦ　受益証券</t>
  </si>
  <si>
    <t>iShares US Dividend Growth ETF</t>
  </si>
  <si>
    <t>2015</t>
  </si>
  <si>
    <t>ｉＦｒｅｅＥＴＦ　米国国債７－１０年（為替ヘッジなし）　受益証券</t>
  </si>
  <si>
    <t>iFreeETF US Treasury Bond 7-10 Year (NON HEDGED)</t>
  </si>
  <si>
    <t>2016</t>
  </si>
  <si>
    <t>ｉＦｒｅｅＥＴＦ　米国国債７－１０年（為替ヘッジあり）　受益証券</t>
  </si>
  <si>
    <t>iFreeETF US Treasury Bond 7-10 Year (JPY HEDGED)</t>
  </si>
  <si>
    <t>2017</t>
  </si>
  <si>
    <t>ｉＦｒｅｅＥＴＦ　ＪＰＸプライム１５０　受益証券</t>
  </si>
  <si>
    <t>iFreeETF JPX Prime 150</t>
  </si>
  <si>
    <t xml:space="preserve">2024/01/24  </t>
  </si>
  <si>
    <t>2018</t>
  </si>
  <si>
    <t>グローバルＸ　ＵＳ　ＲＥＩＴ・トップ２０　ＥＴＦ　受益証券</t>
  </si>
  <si>
    <t>Global X US REIT Top 20 ETF</t>
  </si>
  <si>
    <t>2019</t>
  </si>
  <si>
    <t>グローバルＸ　米国優先証券　ＥＴＦ（隔月分配型）　受益証券</t>
  </si>
  <si>
    <t>Global X U.S. Preferred Security ETF (Bi-monthly dividend type)</t>
  </si>
  <si>
    <t>2024/02</t>
  </si>
  <si>
    <t>1</t>
  </si>
  <si>
    <t>27</t>
  </si>
  <si>
    <t>21</t>
  </si>
  <si>
    <t>8</t>
  </si>
  <si>
    <t>28</t>
  </si>
  <si>
    <t>7</t>
  </si>
  <si>
    <t>2</t>
  </si>
  <si>
    <t>14</t>
  </si>
  <si>
    <t>20</t>
  </si>
  <si>
    <t>140A</t>
  </si>
  <si>
    <t>ｉＦｒｅｅＥＴＦ　米国１０年国債先物インバース　受益証券</t>
  </si>
  <si>
    <t>iFreeETF 10-Year U.S. Treasury Note Futures Inverse</t>
  </si>
  <si>
    <t xml:space="preserve">2024/02/28  </t>
  </si>
  <si>
    <t>13</t>
  </si>
  <si>
    <t>6</t>
  </si>
  <si>
    <t xml:space="preserve">上場廃止  </t>
  </si>
  <si>
    <t xml:space="preserve">Removal  </t>
  </si>
  <si>
    <t xml:space="preserve">2024/02/12  </t>
  </si>
  <si>
    <t>2024/03</t>
  </si>
  <si>
    <t xml:space="preserve">2024/03/25  </t>
  </si>
  <si>
    <t>SMT ETF Japan Equity Income Strategy Active</t>
  </si>
  <si>
    <t>ＳＭＴ　ＥＴＦ日本好配当株アクティブ　受益証券</t>
  </si>
  <si>
    <t>170A</t>
  </si>
  <si>
    <t xml:space="preserve">2024/03/22  </t>
  </si>
  <si>
    <t>Semiconductor Focus Japan Equity Net Return ETN</t>
  </si>
  <si>
    <t>半導体フォーカス　日本株（ネットリターン）ＥＴＮ　受益証券</t>
  </si>
  <si>
    <t>163A</t>
  </si>
  <si>
    <t>AI Select Megatrend Japan Equity Net Return ETN</t>
  </si>
  <si>
    <t>ＡＩセレクトメガトレンド　日本株（ネットリターン）ＥＴＮ　受益証券</t>
  </si>
  <si>
    <t>162A</t>
  </si>
  <si>
    <t xml:space="preserve">2024/03/18  </t>
  </si>
  <si>
    <t>NEXT FUNDS JPX Prime 150 Index Exchange Traded Fund</t>
  </si>
  <si>
    <t>ＮＥＸＴ　ＦＵＮＤＳ　ＪＰＸプライム１５０指数連動型上場投信　受益証券</t>
  </si>
  <si>
    <t>159A</t>
  </si>
  <si>
    <t>2024/04</t>
  </si>
  <si>
    <t>3</t>
  </si>
  <si>
    <t xml:space="preserve">2024/04/14  </t>
  </si>
  <si>
    <t>178A</t>
  </si>
  <si>
    <t>グローバルＸ　革新的優良企業　ＥＴＦ　受益証券</t>
  </si>
  <si>
    <t>Global X Innovative Bluechip Top 10+ ETF</t>
  </si>
  <si>
    <t xml:space="preserve">2024/04/10  </t>
  </si>
  <si>
    <t>179A</t>
  </si>
  <si>
    <t>グローバルＸ　超長期米国債　ＥＴＦ（為替ヘッジあり）　受益証券</t>
  </si>
  <si>
    <t>Global X 25+ Year T-Bond ETF (JPY Hedged)</t>
  </si>
  <si>
    <t>180A</t>
  </si>
  <si>
    <t>グローバルＸ　超長期米国債　ＥＴＦ　受益証券</t>
  </si>
  <si>
    <t>Global X 25+ Year T-Bond ETF</t>
  </si>
  <si>
    <t>181A</t>
  </si>
  <si>
    <t>ＭＡＸＩＳ米国国債１－３年上場投信（為替ヘッジなし）　受益証券</t>
  </si>
  <si>
    <t>MAXIS US Treasury Bond 1-3 Year ETF (Unhedged)</t>
  </si>
  <si>
    <t xml:space="preserve">2024/04/25  </t>
  </si>
  <si>
    <t>182A</t>
  </si>
  <si>
    <t>ＭＡＸＩＳ米国国債２０年超上場投信（為替ヘッジなし）　受益証券</t>
  </si>
  <si>
    <t>MAXIS US Treasury Bond 20+ Year ETF (Unhedged)</t>
  </si>
  <si>
    <t>183A</t>
  </si>
  <si>
    <t>ＭＡＸＩＳ米国国債２０年超上場投信（為替ヘッジあり）　受益証券</t>
  </si>
  <si>
    <t>MAXIS US Treasury Bond 20+ Year ETF (JPY Hedged)</t>
  </si>
  <si>
    <t>2024/05</t>
  </si>
  <si>
    <t>188A</t>
  </si>
  <si>
    <t>グローバルＸ　インド・トップ１０＋　ＥＴＦ　受益証券</t>
  </si>
  <si>
    <t>Global X India Top 10+ ETF</t>
  </si>
  <si>
    <t xml:space="preserve">2024/05/23  </t>
  </si>
  <si>
    <t>2024/06</t>
  </si>
  <si>
    <t>200A</t>
  </si>
  <si>
    <t>ＮＥＸＴ　ＦＵＮＤＳ　日経半導体株指数連動型上場投信　受益証券</t>
  </si>
  <si>
    <t>NEXT FUNDS Nikkei Semiconductor Stock Index Exchange Traded Fund</t>
  </si>
  <si>
    <t xml:space="preserve">2024/06/04  </t>
  </si>
  <si>
    <t>201A</t>
  </si>
  <si>
    <t>ｉシェアーズ　Ｎｉｆｔｙ　５０　インド株　ＥＴＦ　受益証券</t>
  </si>
  <si>
    <t>iShares Nifty 50 ETF</t>
  </si>
  <si>
    <t xml:space="preserve">2024/06/12  </t>
  </si>
  <si>
    <t>210A</t>
  </si>
  <si>
    <t>ｉＦｒｅｅＥＴＦ　日経高利回りＲＥＩＴ指数　受益証券</t>
  </si>
  <si>
    <t>iFreeETF Nikkei High Yield REIT Index</t>
  </si>
  <si>
    <t xml:space="preserve">2024/06/26  </t>
  </si>
  <si>
    <t>2024/07</t>
  </si>
  <si>
    <t xml:space="preserve">2024/07/25  </t>
  </si>
  <si>
    <t>Global X Uranium ETF</t>
  </si>
  <si>
    <t>グローバルＸ　ウラニウムビジネス　ＥＴＦ　受益証券</t>
  </si>
  <si>
    <t>224A</t>
  </si>
  <si>
    <t>Global X Artificial Intelligence &amp; Technology ETF</t>
  </si>
  <si>
    <t>グローバルＸ　ＡＩ＆ビッグデータ　ＥＴＦ　受益証券</t>
  </si>
  <si>
    <t>223A</t>
  </si>
  <si>
    <t xml:space="preserve">2024/07/19  </t>
  </si>
  <si>
    <t>MAXIS Nikkei Semiconductor Stock (Japan) ETF</t>
  </si>
  <si>
    <t>ＭＡＸＩＳ日経半導体株上場投信　受益証券</t>
  </si>
  <si>
    <t>221A</t>
  </si>
  <si>
    <t xml:space="preserve">2024/07/12  </t>
  </si>
  <si>
    <t>Listed Index Fund Nikkei Semiconductor Stock</t>
  </si>
  <si>
    <t>上場インデックスファンド日経半導体株　受益証券</t>
  </si>
  <si>
    <t>213A</t>
  </si>
  <si>
    <t>2024/08</t>
  </si>
  <si>
    <t xml:space="preserve">2024/08/19  </t>
  </si>
  <si>
    <t>233A</t>
  </si>
  <si>
    <t>ｉＦｒｅｅＥＴＦ　インドＮｉｆｔｙ５０　受益証券</t>
  </si>
  <si>
    <t>iFreeETF Nifty50</t>
  </si>
  <si>
    <t xml:space="preserve">2024/08/20  </t>
  </si>
  <si>
    <t>234A</t>
  </si>
  <si>
    <t>グローバルＸ　ＭＳＣＩ　キャッシュフローキング－日本株式　ＥＴＦ　受益証券</t>
  </si>
  <si>
    <t>Global X MSCI Japan Cash Flow Kings ETF</t>
  </si>
  <si>
    <t xml:space="preserve">2024/08/22  </t>
  </si>
  <si>
    <t>235A</t>
  </si>
  <si>
    <t>グローバルＸ　高配当３０－日本株式　ＥＴＦ　受益証券</t>
  </si>
  <si>
    <t>Global X Japan High Dividend 30 ETF</t>
  </si>
  <si>
    <t>236A</t>
  </si>
  <si>
    <t>ｉシェアーズ　日本国債７－１０年　ＥＴＦ　受益証券</t>
  </si>
  <si>
    <t>iShares 7-10 Year Japan Government Bond ETF</t>
  </si>
  <si>
    <t xml:space="preserve">2024/08/28  </t>
  </si>
  <si>
    <t>237A</t>
  </si>
  <si>
    <t>ｉシェアーズ　米国債２５年超　ロングデュレーション　ＥＴＦ　受益証券</t>
  </si>
  <si>
    <t>iShares 25+ Year US Treasury Bond Long Duration ETF</t>
  </si>
  <si>
    <t>238A</t>
  </si>
  <si>
    <t>ｉシェアーズ　米国債２５年超　ロングデュレーション　ＥＴＦ（為替ヘッジあり）　受益証券</t>
  </si>
  <si>
    <t>iShares 25+ Year US Treasury Bond Long Duration JPY Hedged ETF</t>
  </si>
  <si>
    <t>2024/09</t>
  </si>
  <si>
    <t>257A</t>
  </si>
  <si>
    <t>ＳＭＴ　ＥＴＦ日本株厳選投資アクティブ　受益証券</t>
  </si>
  <si>
    <t>SMT ETF Selected Japan Equity Active</t>
  </si>
  <si>
    <t xml:space="preserve">2024/09/24  </t>
  </si>
  <si>
    <t>258A</t>
  </si>
  <si>
    <t>ＳＭＴ　ＥＴＦ国内リート厳選投資アクティブ　受益証券</t>
  </si>
  <si>
    <t>SMT ETF Selected J-REIT Active</t>
  </si>
  <si>
    <t>2024/10</t>
  </si>
  <si>
    <t xml:space="preserve">2024/10/31  </t>
  </si>
  <si>
    <t>SBI Saudi Arabia Equity Exchange Traded Fund</t>
  </si>
  <si>
    <t>ＳＢＩ　サウジアラビア株式上場投信　受益証券</t>
  </si>
  <si>
    <t>273A</t>
  </si>
  <si>
    <t>2024/11</t>
  </si>
  <si>
    <t xml:space="preserve">2024/11/09  </t>
  </si>
  <si>
    <t>282A</t>
  </si>
  <si>
    <t>グローバルＸ　半導体・トップ１０－日本株式　ＥＴＦ　受益証券</t>
  </si>
  <si>
    <t>Global X Japan Semiconductor Top 10 ETF</t>
  </si>
  <si>
    <t xml:space="preserve">2024/11/21  </t>
  </si>
  <si>
    <t>283A</t>
  </si>
  <si>
    <t>グローバルＸ　ＵＳ　テック・配当貴族　ＥＴＦ　受益証券</t>
  </si>
  <si>
    <t>Global X US Tech Dividend Aristocrats ETF</t>
  </si>
  <si>
    <t>2024/12</t>
  </si>
  <si>
    <t xml:space="preserve">2024/12/20  </t>
  </si>
  <si>
    <t xml:space="preserve">株式併合  </t>
  </si>
  <si>
    <t xml:space="preserve">stock merge  </t>
  </si>
  <si>
    <t>294A</t>
  </si>
  <si>
    <t>ＮＥＸＴ　ＦＵＮＤＳ　ＭＳＣＩジャパン気候変動指数（セレクト）連動型上場投信　受益証券</t>
  </si>
  <si>
    <t>NEXT FUNDS MSCI Global Climate 500 Japan Selection Index Exchange Traded Fund</t>
  </si>
  <si>
    <t xml:space="preserve">2024/12/03  </t>
  </si>
  <si>
    <t>295A</t>
  </si>
  <si>
    <t>Ｏｎｅ　ＥＴＦ　ＦＴＳＥ・サウジアラビア・インデックス　受益証券</t>
  </si>
  <si>
    <t>One ETF FTSE Saudi Arabia Index</t>
  </si>
  <si>
    <t xml:space="preserve">2024/12/12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</si>
</sst>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40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4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49" fontId="11" fillId="0" borderId="17" xfId="2" applyNumberFormat="1" applyFont="1" applyBorder="1" applyAlignment="1">
      <alignment horizontal="right"/>
    </xf>
    <xf numFmtId="49" fontId="11" fillId="0" borderId="20" xfId="2" applyNumberFormat="1" applyFont="1" applyBorder="1" applyAlignment="1">
      <alignment horizontal="right"/>
    </xf>
    <xf numFmtId="49" fontId="11" fillId="0" borderId="19" xfId="2" applyNumberFormat="1" applyFont="1" applyBorder="1" applyAlignment="1">
      <alignment horizontal="right"/>
    </xf>
    <xf numFmtId="49" fontId="7" fillId="0" borderId="21" xfId="1" applyNumberFormat="1" applyFont="1" applyBorder="1" applyAlignment="1">
      <alignment horizontal="left" vertical="center"/>
    </xf>
    <xf numFmtId="49" fontId="7" fillId="0" borderId="22" xfId="1" applyNumberFormat="1" applyFont="1" applyBorder="1" applyAlignment="1">
      <alignment horizontal="left" vertical="center"/>
    </xf>
    <xf numFmtId="49" fontId="7" fillId="0" borderId="23" xfId="1" applyNumberFormat="1" applyFont="1" applyBorder="1" applyAlignment="1">
      <alignment horizontal="left" vertical="center"/>
    </xf>
    <xf numFmtId="49" fontId="7" fillId="0" borderId="24" xfId="1" applyNumberFormat="1" applyFont="1" applyBorder="1" applyAlignment="1">
      <alignment horizontal="left" vertical="center"/>
    </xf>
    <xf numFmtId="49" fontId="7" fillId="0" borderId="21" xfId="2" applyNumberFormat="1" applyFont="1" applyBorder="1" applyAlignment="1">
      <alignment horizontal="left"/>
    </xf>
    <xf numFmtId="3" fontId="7" fillId="0" borderId="21" xfId="2" applyNumberFormat="1" applyFont="1" applyBorder="1" applyAlignment="1">
      <alignment horizontal="right"/>
    </xf>
    <xf numFmtId="4" fontId="7" fillId="0" borderId="25" xfId="2" applyNumberFormat="1" applyFont="1" applyBorder="1" applyAlignment="1">
      <alignment horizontal="right"/>
    </xf>
    <xf numFmtId="49" fontId="7" fillId="0" borderId="24" xfId="2" applyNumberFormat="1" applyFont="1" applyBorder="1" applyAlignment="1">
      <alignment horizontal="right"/>
    </xf>
    <xf numFmtId="4" fontId="7" fillId="0" borderId="21" xfId="2" applyNumberFormat="1" applyFont="1" applyBorder="1" applyAlignment="1">
      <alignment horizontal="right"/>
    </xf>
    <xf numFmtId="176" fontId="7" fillId="0" borderId="21" xfId="2" applyNumberFormat="1" applyFont="1" applyBorder="1" applyAlignment="1">
      <alignment horizontal="right"/>
    </xf>
    <xf numFmtId="0" fontId="7" fillId="0" borderId="0" xfId="1" applyFont="1">
      <alignment vertical="center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3">
    <cellStyle name="標準" xfId="0" builtinId="0"/>
    <cellStyle name="標準 10 3" xfId="2" xr:uid="{52A9C9D1-04B4-4DEE-97C9-9E5BC12EDF58}"/>
    <cellStyle name="標準 132" xfId="1" xr:uid="{4B2E7684-C327-4DE2-8DB8-B03F9E10235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8D9A-2F8F-4F27-A4DD-7C79F99DDA63}">
  <sheetPr>
    <pageSetUpPr fitToPage="1"/>
  </sheetPr>
  <dimension ref="A1:X381"/>
  <sheetViews>
    <sheetView showGridLines="0" tabSelected="1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8.125" defaultRowHeight="18.75"/>
  <cols>
    <col min="1" max="1" width="11.75" style="3" bestFit="1" customWidth="1"/>
    <col min="2" max="2" width="9.75" style="3" bestFit="1" customWidth="1"/>
    <col min="3" max="4" width="24.875" style="3" customWidth="1"/>
    <col min="5" max="5" width="12.375" style="3" bestFit="1" customWidth="1"/>
    <col min="6" max="6" width="18.75" style="3" bestFit="1" customWidth="1"/>
    <col min="7" max="7" width="10.125" style="3" customWidth="1"/>
    <col min="8" max="8" width="7.875" style="3" bestFit="1" customWidth="1"/>
    <col min="9" max="9" width="10.625" style="3" bestFit="1" customWidth="1"/>
    <col min="10" max="10" width="11.375" style="3" bestFit="1" customWidth="1"/>
    <col min="11" max="11" width="14.625" style="3" customWidth="1"/>
    <col min="12" max="12" width="5.125" style="3" bestFit="1" customWidth="1"/>
    <col min="13" max="13" width="14.625" style="3" customWidth="1"/>
    <col min="14" max="14" width="5.125" style="3" bestFit="1" customWidth="1"/>
    <col min="15" max="15" width="14.625" style="3" customWidth="1"/>
    <col min="16" max="16" width="5.125" style="3" bestFit="1" customWidth="1"/>
    <col min="17" max="17" width="14.625" style="3" customWidth="1"/>
    <col min="18" max="18" width="5.125" style="3" bestFit="1" customWidth="1"/>
    <col min="19" max="19" width="21.5" style="3" bestFit="1" customWidth="1"/>
    <col min="20" max="20" width="14.625" style="3" customWidth="1"/>
    <col min="21" max="21" width="21.75" style="3" customWidth="1"/>
    <col min="22" max="22" width="17.875" style="3" bestFit="1" customWidth="1"/>
    <col min="23" max="23" width="22.5" style="3" bestFit="1" customWidth="1"/>
    <col min="24" max="24" width="11.75" style="3" bestFit="1" customWidth="1"/>
    <col min="25" max="16384" width="8.125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1246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2844</f>
        <v>2844</v>
      </c>
      <c r="L7" s="32" t="s">
        <v>1116</v>
      </c>
      <c r="M7" s="31">
        <f>2980.5</f>
        <v>2980.5</v>
      </c>
      <c r="N7" s="32" t="s">
        <v>777</v>
      </c>
      <c r="O7" s="31">
        <f>2832</f>
        <v>2832</v>
      </c>
      <c r="P7" s="32" t="s">
        <v>680</v>
      </c>
      <c r="Q7" s="31">
        <f>2948</f>
        <v>2948</v>
      </c>
      <c r="R7" s="32" t="s">
        <v>777</v>
      </c>
      <c r="S7" s="33">
        <f>2902</f>
        <v>2902</v>
      </c>
      <c r="T7" s="30">
        <f>9348010</f>
        <v>9348010</v>
      </c>
      <c r="U7" s="30">
        <f>6575580</f>
        <v>6575580</v>
      </c>
      <c r="V7" s="30">
        <f>27034944247</f>
        <v>27034944247</v>
      </c>
      <c r="W7" s="30">
        <f>18953932097</f>
        <v>18953932097</v>
      </c>
      <c r="X7" s="34">
        <f>21</f>
        <v>21</v>
      </c>
    </row>
    <row r="8" spans="1:24">
      <c r="A8" s="25" t="s">
        <v>1246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2814</f>
        <v>2814</v>
      </c>
      <c r="L8" s="32" t="s">
        <v>1116</v>
      </c>
      <c r="M8" s="31">
        <f>2950</f>
        <v>2950</v>
      </c>
      <c r="N8" s="32" t="s">
        <v>777</v>
      </c>
      <c r="O8" s="31">
        <f>2800</f>
        <v>2800</v>
      </c>
      <c r="P8" s="32" t="s">
        <v>680</v>
      </c>
      <c r="Q8" s="31">
        <f>2919</f>
        <v>2919</v>
      </c>
      <c r="R8" s="32" t="s">
        <v>777</v>
      </c>
      <c r="S8" s="33">
        <f>2872.6</f>
        <v>2872.6</v>
      </c>
      <c r="T8" s="30">
        <f>63549910</f>
        <v>63549910</v>
      </c>
      <c r="U8" s="30">
        <f>25531170</f>
        <v>25531170</v>
      </c>
      <c r="V8" s="30">
        <f>182907713675</f>
        <v>182907713675</v>
      </c>
      <c r="W8" s="30">
        <f>73255686450</f>
        <v>73255686450</v>
      </c>
      <c r="X8" s="34">
        <f>21</f>
        <v>21</v>
      </c>
    </row>
    <row r="9" spans="1:24">
      <c r="A9" s="25" t="s">
        <v>1246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2781</f>
        <v>2781</v>
      </c>
      <c r="L9" s="32" t="s">
        <v>1116</v>
      </c>
      <c r="M9" s="31">
        <f>2917</f>
        <v>2917</v>
      </c>
      <c r="N9" s="32" t="s">
        <v>777</v>
      </c>
      <c r="O9" s="31">
        <f>2767</f>
        <v>2767</v>
      </c>
      <c r="P9" s="32" t="s">
        <v>680</v>
      </c>
      <c r="Q9" s="31">
        <f>2886</f>
        <v>2886</v>
      </c>
      <c r="R9" s="32" t="s">
        <v>777</v>
      </c>
      <c r="S9" s="33">
        <f>2837.48</f>
        <v>2837.48</v>
      </c>
      <c r="T9" s="30">
        <f>64259978</f>
        <v>64259978</v>
      </c>
      <c r="U9" s="30">
        <f>42217346</f>
        <v>42217346</v>
      </c>
      <c r="V9" s="30">
        <f>182106802452</f>
        <v>182106802452</v>
      </c>
      <c r="W9" s="30">
        <f>119525071247</f>
        <v>119525071247</v>
      </c>
      <c r="X9" s="34">
        <f>21</f>
        <v>21</v>
      </c>
    </row>
    <row r="10" spans="1:24">
      <c r="A10" s="25" t="s">
        <v>1246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43520</f>
        <v>43520</v>
      </c>
      <c r="L10" s="32" t="s">
        <v>1116</v>
      </c>
      <c r="M10" s="31">
        <f>47180</f>
        <v>47180</v>
      </c>
      <c r="N10" s="32" t="s">
        <v>759</v>
      </c>
      <c r="O10" s="31">
        <f>42500</f>
        <v>42500</v>
      </c>
      <c r="P10" s="32" t="s">
        <v>1145</v>
      </c>
      <c r="Q10" s="31">
        <f>46320</f>
        <v>46320</v>
      </c>
      <c r="R10" s="32" t="s">
        <v>777</v>
      </c>
      <c r="S10" s="33">
        <f>44698.1</f>
        <v>44698.1</v>
      </c>
      <c r="T10" s="30">
        <f>7386</f>
        <v>7386</v>
      </c>
      <c r="U10" s="30">
        <f>18</f>
        <v>18</v>
      </c>
      <c r="V10" s="30">
        <f>333589930</f>
        <v>333589930</v>
      </c>
      <c r="W10" s="30">
        <f>750370</f>
        <v>750370</v>
      </c>
      <c r="X10" s="34">
        <f>21</f>
        <v>21</v>
      </c>
    </row>
    <row r="11" spans="1:24">
      <c r="A11" s="25" t="s">
        <v>1246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1421</f>
        <v>1421</v>
      </c>
      <c r="L11" s="32" t="s">
        <v>1116</v>
      </c>
      <c r="M11" s="31">
        <f>1511</f>
        <v>1511</v>
      </c>
      <c r="N11" s="32" t="s">
        <v>777</v>
      </c>
      <c r="O11" s="31">
        <f>1419</f>
        <v>1419</v>
      </c>
      <c r="P11" s="32" t="s">
        <v>1116</v>
      </c>
      <c r="Q11" s="31">
        <f>1489.5</f>
        <v>1489.5</v>
      </c>
      <c r="R11" s="32" t="s">
        <v>777</v>
      </c>
      <c r="S11" s="33">
        <f>1462.55</f>
        <v>1462.55</v>
      </c>
      <c r="T11" s="30">
        <f>627990</f>
        <v>627990</v>
      </c>
      <c r="U11" s="30">
        <f>411310</f>
        <v>411310</v>
      </c>
      <c r="V11" s="30">
        <f>920890605</f>
        <v>920890605</v>
      </c>
      <c r="W11" s="30">
        <f>602978335</f>
        <v>602978335</v>
      </c>
      <c r="X11" s="34">
        <f>21</f>
        <v>21</v>
      </c>
    </row>
    <row r="12" spans="1:24">
      <c r="A12" s="25" t="s">
        <v>1246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544.9</f>
        <v>544.9</v>
      </c>
      <c r="L12" s="32" t="s">
        <v>1116</v>
      </c>
      <c r="M12" s="31">
        <f>545</f>
        <v>545</v>
      </c>
      <c r="N12" s="32" t="s">
        <v>1116</v>
      </c>
      <c r="O12" s="31">
        <f>501.6</f>
        <v>501.6</v>
      </c>
      <c r="P12" s="32" t="s">
        <v>679</v>
      </c>
      <c r="Q12" s="31">
        <f>513</f>
        <v>513</v>
      </c>
      <c r="R12" s="32" t="s">
        <v>1111</v>
      </c>
      <c r="S12" s="33">
        <f>521.59</f>
        <v>521.59</v>
      </c>
      <c r="T12" s="30">
        <f>77000</f>
        <v>77000</v>
      </c>
      <c r="U12" s="30">
        <f>2000</f>
        <v>2000</v>
      </c>
      <c r="V12" s="30">
        <f>40264400</f>
        <v>40264400</v>
      </c>
      <c r="W12" s="30">
        <f>1034800</f>
        <v>1034800</v>
      </c>
      <c r="X12" s="34">
        <f>14</f>
        <v>14</v>
      </c>
    </row>
    <row r="13" spans="1:24">
      <c r="A13" s="25" t="s">
        <v>1246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39480</f>
        <v>39480</v>
      </c>
      <c r="L13" s="32" t="s">
        <v>1116</v>
      </c>
      <c r="M13" s="31">
        <f>41800</f>
        <v>41800</v>
      </c>
      <c r="N13" s="32" t="s">
        <v>1111</v>
      </c>
      <c r="O13" s="31">
        <f>39230</f>
        <v>39230</v>
      </c>
      <c r="P13" s="32" t="s">
        <v>1116</v>
      </c>
      <c r="Q13" s="31">
        <f>41300</f>
        <v>41300</v>
      </c>
      <c r="R13" s="32" t="s">
        <v>777</v>
      </c>
      <c r="S13" s="33">
        <f>40624.76</f>
        <v>40624.76</v>
      </c>
      <c r="T13" s="30">
        <f>1888010</f>
        <v>1888010</v>
      </c>
      <c r="U13" s="30">
        <f>1080079</f>
        <v>1080079</v>
      </c>
      <c r="V13" s="30">
        <f>76718248262</f>
        <v>76718248262</v>
      </c>
      <c r="W13" s="30">
        <f>43880217422</f>
        <v>43880217422</v>
      </c>
      <c r="X13" s="34">
        <f>21</f>
        <v>21</v>
      </c>
    </row>
    <row r="14" spans="1:24">
      <c r="A14" s="25" t="s">
        <v>1246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39630</f>
        <v>39630</v>
      </c>
      <c r="L14" s="32" t="s">
        <v>1116</v>
      </c>
      <c r="M14" s="31">
        <f>41950</f>
        <v>41950</v>
      </c>
      <c r="N14" s="32" t="s">
        <v>1111</v>
      </c>
      <c r="O14" s="31">
        <f>39380</f>
        <v>39380</v>
      </c>
      <c r="P14" s="32" t="s">
        <v>1116</v>
      </c>
      <c r="Q14" s="31">
        <f>41470</f>
        <v>41470</v>
      </c>
      <c r="R14" s="32" t="s">
        <v>777</v>
      </c>
      <c r="S14" s="33">
        <f>40768.57</f>
        <v>40768.57</v>
      </c>
      <c r="T14" s="30">
        <f>6630124</f>
        <v>6630124</v>
      </c>
      <c r="U14" s="30">
        <f>587818</f>
        <v>587818</v>
      </c>
      <c r="V14" s="30">
        <f>270398906827</f>
        <v>270398906827</v>
      </c>
      <c r="W14" s="30">
        <f>23848306997</f>
        <v>23848306997</v>
      </c>
      <c r="X14" s="34">
        <f>21</f>
        <v>21</v>
      </c>
    </row>
    <row r="15" spans="1:24">
      <c r="A15" s="25" t="s">
        <v>1246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8518</f>
        <v>8518</v>
      </c>
      <c r="L15" s="32" t="s">
        <v>1116</v>
      </c>
      <c r="M15" s="31">
        <f>9186</f>
        <v>9186</v>
      </c>
      <c r="N15" s="32" t="s">
        <v>759</v>
      </c>
      <c r="O15" s="31">
        <f>8401</f>
        <v>8401</v>
      </c>
      <c r="P15" s="32" t="s">
        <v>1124</v>
      </c>
      <c r="Q15" s="31">
        <f>8969</f>
        <v>8969</v>
      </c>
      <c r="R15" s="32" t="s">
        <v>777</v>
      </c>
      <c r="S15" s="33">
        <f>8769.67</f>
        <v>8769.67</v>
      </c>
      <c r="T15" s="30">
        <f>31840</f>
        <v>31840</v>
      </c>
      <c r="U15" s="30">
        <f>40</f>
        <v>40</v>
      </c>
      <c r="V15" s="30">
        <f>282377330</f>
        <v>282377330</v>
      </c>
      <c r="W15" s="30">
        <f>334440</f>
        <v>334440</v>
      </c>
      <c r="X15" s="34">
        <f>21</f>
        <v>21</v>
      </c>
    </row>
    <row r="16" spans="1:24">
      <c r="A16" s="25" t="s">
        <v>1246</v>
      </c>
      <c r="B16" s="25" t="s">
        <v>67</v>
      </c>
      <c r="C16" s="25" t="s">
        <v>810</v>
      </c>
      <c r="D16" s="25" t="s">
        <v>811</v>
      </c>
      <c r="E16" s="26" t="s">
        <v>1125</v>
      </c>
      <c r="F16" s="27" t="s">
        <v>1126</v>
      </c>
      <c r="G16" s="28" t="s">
        <v>1247</v>
      </c>
      <c r="H16" s="29" t="s">
        <v>761</v>
      </c>
      <c r="I16" s="29"/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 t="shared" ref="S16:X16" si="0">"－"</f>
        <v>－</v>
      </c>
      <c r="T16" s="30" t="str">
        <f t="shared" si="0"/>
        <v>－</v>
      </c>
      <c r="U16" s="30" t="str">
        <f t="shared" si="0"/>
        <v>－</v>
      </c>
      <c r="V16" s="30" t="str">
        <f t="shared" si="0"/>
        <v>－</v>
      </c>
      <c r="W16" s="30" t="str">
        <f t="shared" si="0"/>
        <v>－</v>
      </c>
      <c r="X16" s="34" t="str">
        <f t="shared" si="0"/>
        <v>－</v>
      </c>
    </row>
    <row r="17" spans="1:24">
      <c r="A17" s="25" t="s">
        <v>1246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192</f>
        <v>192</v>
      </c>
      <c r="L17" s="32" t="s">
        <v>1116</v>
      </c>
      <c r="M17" s="31">
        <f>197</f>
        <v>197</v>
      </c>
      <c r="N17" s="32" t="s">
        <v>677</v>
      </c>
      <c r="O17" s="31">
        <f>180</f>
        <v>180</v>
      </c>
      <c r="P17" s="32" t="s">
        <v>680</v>
      </c>
      <c r="Q17" s="31">
        <f>184.9</f>
        <v>184.9</v>
      </c>
      <c r="R17" s="32" t="s">
        <v>777</v>
      </c>
      <c r="S17" s="33">
        <f>188.69</f>
        <v>188.69</v>
      </c>
      <c r="T17" s="30">
        <f>1405200</f>
        <v>1405200</v>
      </c>
      <c r="U17" s="30">
        <f>2800</f>
        <v>2800</v>
      </c>
      <c r="V17" s="30">
        <f>264384470</f>
        <v>264384470</v>
      </c>
      <c r="W17" s="30">
        <f>519040</f>
        <v>519040</v>
      </c>
      <c r="X17" s="34">
        <f>21</f>
        <v>21</v>
      </c>
    </row>
    <row r="18" spans="1:24">
      <c r="A18" s="25" t="s">
        <v>1246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36660</f>
        <v>36660</v>
      </c>
      <c r="L18" s="32" t="s">
        <v>1116</v>
      </c>
      <c r="M18" s="31">
        <f>38380</f>
        <v>38380</v>
      </c>
      <c r="N18" s="32" t="s">
        <v>1111</v>
      </c>
      <c r="O18" s="31">
        <f>36260</f>
        <v>36260</v>
      </c>
      <c r="P18" s="32" t="s">
        <v>1124</v>
      </c>
      <c r="Q18" s="31">
        <f>38230</f>
        <v>38230</v>
      </c>
      <c r="R18" s="32" t="s">
        <v>777</v>
      </c>
      <c r="S18" s="33">
        <f>37500</f>
        <v>37500</v>
      </c>
      <c r="T18" s="30">
        <f>189748</f>
        <v>189748</v>
      </c>
      <c r="U18" s="30">
        <f>31</f>
        <v>31</v>
      </c>
      <c r="V18" s="30">
        <f>7081506360</f>
        <v>7081506360</v>
      </c>
      <c r="W18" s="30">
        <f>1101010</f>
        <v>1101010</v>
      </c>
      <c r="X18" s="34">
        <f>21</f>
        <v>21</v>
      </c>
    </row>
    <row r="19" spans="1:24">
      <c r="A19" s="25" t="s">
        <v>1246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9662</f>
        <v>9662</v>
      </c>
      <c r="L19" s="32" t="s">
        <v>1116</v>
      </c>
      <c r="M19" s="31">
        <f>10130</f>
        <v>10130</v>
      </c>
      <c r="N19" s="32" t="s">
        <v>677</v>
      </c>
      <c r="O19" s="31">
        <f>9566</f>
        <v>9566</v>
      </c>
      <c r="P19" s="32" t="s">
        <v>1124</v>
      </c>
      <c r="Q19" s="31">
        <f>10015</f>
        <v>10015</v>
      </c>
      <c r="R19" s="32" t="s">
        <v>777</v>
      </c>
      <c r="S19" s="33">
        <f>9862.48</f>
        <v>9862.48</v>
      </c>
      <c r="T19" s="30">
        <f>326500</f>
        <v>326500</v>
      </c>
      <c r="U19" s="30">
        <f>40</f>
        <v>40</v>
      </c>
      <c r="V19" s="30">
        <f>3221181320</f>
        <v>3221181320</v>
      </c>
      <c r="W19" s="30">
        <f>399900</f>
        <v>399900</v>
      </c>
      <c r="X19" s="34">
        <f>21</f>
        <v>21</v>
      </c>
    </row>
    <row r="20" spans="1:24">
      <c r="A20" s="25" t="s">
        <v>1246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39710</f>
        <v>39710</v>
      </c>
      <c r="L20" s="32" t="s">
        <v>1116</v>
      </c>
      <c r="M20" s="31">
        <f>42040</f>
        <v>42040</v>
      </c>
      <c r="N20" s="32" t="s">
        <v>1111</v>
      </c>
      <c r="O20" s="31">
        <f>39480</f>
        <v>39480</v>
      </c>
      <c r="P20" s="32" t="s">
        <v>1116</v>
      </c>
      <c r="Q20" s="31">
        <f>41620</f>
        <v>41620</v>
      </c>
      <c r="R20" s="32" t="s">
        <v>777</v>
      </c>
      <c r="S20" s="33">
        <f>40865.71</f>
        <v>40865.71</v>
      </c>
      <c r="T20" s="30">
        <f>1705154</f>
        <v>1705154</v>
      </c>
      <c r="U20" s="30">
        <f>812014</f>
        <v>812014</v>
      </c>
      <c r="V20" s="30">
        <f>69799882874</f>
        <v>69799882874</v>
      </c>
      <c r="W20" s="30">
        <f>33177789074</f>
        <v>33177789074</v>
      </c>
      <c r="X20" s="34">
        <f>21</f>
        <v>21</v>
      </c>
    </row>
    <row r="21" spans="1:24">
      <c r="A21" s="25" t="s">
        <v>1246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39630</f>
        <v>39630</v>
      </c>
      <c r="L21" s="32" t="s">
        <v>1116</v>
      </c>
      <c r="M21" s="31">
        <f>41980</f>
        <v>41980</v>
      </c>
      <c r="N21" s="32" t="s">
        <v>1111</v>
      </c>
      <c r="O21" s="31">
        <f>39410</f>
        <v>39410</v>
      </c>
      <c r="P21" s="32" t="s">
        <v>1116</v>
      </c>
      <c r="Q21" s="31">
        <f>41520</f>
        <v>41520</v>
      </c>
      <c r="R21" s="32" t="s">
        <v>777</v>
      </c>
      <c r="S21" s="33">
        <f>40802.38</f>
        <v>40802.379999999997</v>
      </c>
      <c r="T21" s="30">
        <f>962703</f>
        <v>962703</v>
      </c>
      <c r="U21" s="30">
        <f>283654</f>
        <v>283654</v>
      </c>
      <c r="V21" s="30">
        <f>39339803874</f>
        <v>39339803874</v>
      </c>
      <c r="W21" s="30">
        <f>11561905124</f>
        <v>11561905124</v>
      </c>
      <c r="X21" s="34">
        <f>21</f>
        <v>21</v>
      </c>
    </row>
    <row r="22" spans="1:24">
      <c r="A22" s="25" t="s">
        <v>1246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1018</f>
        <v>1018</v>
      </c>
      <c r="L22" s="32" t="s">
        <v>1116</v>
      </c>
      <c r="M22" s="31">
        <f>1075</f>
        <v>1075</v>
      </c>
      <c r="N22" s="32" t="s">
        <v>777</v>
      </c>
      <c r="O22" s="31">
        <f>1012</f>
        <v>1012</v>
      </c>
      <c r="P22" s="32" t="s">
        <v>1145</v>
      </c>
      <c r="Q22" s="31">
        <f>1075</f>
        <v>1075</v>
      </c>
      <c r="R22" s="32" t="s">
        <v>777</v>
      </c>
      <c r="S22" s="33">
        <f>1043.33</f>
        <v>1043.33</v>
      </c>
      <c r="T22" s="30">
        <f>2406767</f>
        <v>2406767</v>
      </c>
      <c r="U22" s="30">
        <f>1931431</f>
        <v>1931431</v>
      </c>
      <c r="V22" s="30">
        <f>2555203603</f>
        <v>2555203603</v>
      </c>
      <c r="W22" s="30">
        <f>2053767003</f>
        <v>2053767003</v>
      </c>
      <c r="X22" s="34">
        <f>21</f>
        <v>21</v>
      </c>
    </row>
    <row r="23" spans="1:24">
      <c r="A23" s="25" t="s">
        <v>1246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1790</f>
        <v>1790</v>
      </c>
      <c r="L23" s="32" t="s">
        <v>1116</v>
      </c>
      <c r="M23" s="31">
        <f>1807.5</f>
        <v>1807.5</v>
      </c>
      <c r="N23" s="32" t="s">
        <v>777</v>
      </c>
      <c r="O23" s="31">
        <f>1734.5</f>
        <v>1734.5</v>
      </c>
      <c r="P23" s="32" t="s">
        <v>680</v>
      </c>
      <c r="Q23" s="31">
        <f>1789.5</f>
        <v>1789.5</v>
      </c>
      <c r="R23" s="32" t="s">
        <v>777</v>
      </c>
      <c r="S23" s="33">
        <f>1764.21</f>
        <v>1764.21</v>
      </c>
      <c r="T23" s="30">
        <f>24507930</f>
        <v>24507930</v>
      </c>
      <c r="U23" s="30">
        <f>8255940</f>
        <v>8255940</v>
      </c>
      <c r="V23" s="30">
        <f>43038354846</f>
        <v>43038354846</v>
      </c>
      <c r="W23" s="30">
        <f>14411157001</f>
        <v>14411157001</v>
      </c>
      <c r="X23" s="34">
        <f>21</f>
        <v>21</v>
      </c>
    </row>
    <row r="24" spans="1:24">
      <c r="A24" s="25" t="s">
        <v>1246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1690</f>
        <v>1690</v>
      </c>
      <c r="L24" s="32" t="s">
        <v>1116</v>
      </c>
      <c r="M24" s="31">
        <f>1708</f>
        <v>1708</v>
      </c>
      <c r="N24" s="32" t="s">
        <v>777</v>
      </c>
      <c r="O24" s="31">
        <f>1637</f>
        <v>1637</v>
      </c>
      <c r="P24" s="32" t="s">
        <v>680</v>
      </c>
      <c r="Q24" s="31">
        <f>1689</f>
        <v>1689</v>
      </c>
      <c r="R24" s="32" t="s">
        <v>777</v>
      </c>
      <c r="S24" s="33">
        <f>1665.21</f>
        <v>1665.21</v>
      </c>
      <c r="T24" s="30">
        <f>2404100</f>
        <v>2404100</v>
      </c>
      <c r="U24" s="30">
        <f>351900</f>
        <v>351900</v>
      </c>
      <c r="V24" s="30">
        <f>4008414065</f>
        <v>4008414065</v>
      </c>
      <c r="W24" s="30">
        <f>581628015</f>
        <v>581628015</v>
      </c>
      <c r="X24" s="34">
        <f>21</f>
        <v>21</v>
      </c>
    </row>
    <row r="25" spans="1:24">
      <c r="A25" s="25" t="s">
        <v>1246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39680</f>
        <v>39680</v>
      </c>
      <c r="L25" s="32" t="s">
        <v>1116</v>
      </c>
      <c r="M25" s="31">
        <f>42000</f>
        <v>42000</v>
      </c>
      <c r="N25" s="32" t="s">
        <v>1111</v>
      </c>
      <c r="O25" s="31">
        <f>39430</f>
        <v>39430</v>
      </c>
      <c r="P25" s="32" t="s">
        <v>1116</v>
      </c>
      <c r="Q25" s="31">
        <f>41570</f>
        <v>41570</v>
      </c>
      <c r="R25" s="32" t="s">
        <v>777</v>
      </c>
      <c r="S25" s="33">
        <f>40809.05</f>
        <v>40809.050000000003</v>
      </c>
      <c r="T25" s="30">
        <f>634999</f>
        <v>634999</v>
      </c>
      <c r="U25" s="30">
        <f>170124</f>
        <v>170124</v>
      </c>
      <c r="V25" s="30">
        <f>25899079460</f>
        <v>25899079460</v>
      </c>
      <c r="W25" s="30">
        <f>6895275390</f>
        <v>6895275390</v>
      </c>
      <c r="X25" s="34">
        <f>21</f>
        <v>21</v>
      </c>
    </row>
    <row r="26" spans="1:24">
      <c r="A26" s="25" t="s">
        <v>1246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2806.5</f>
        <v>2806.5</v>
      </c>
      <c r="L26" s="32" t="s">
        <v>1116</v>
      </c>
      <c r="M26" s="31">
        <f>2940</f>
        <v>2940</v>
      </c>
      <c r="N26" s="32" t="s">
        <v>777</v>
      </c>
      <c r="O26" s="31">
        <f>2793</f>
        <v>2793</v>
      </c>
      <c r="P26" s="32" t="s">
        <v>680</v>
      </c>
      <c r="Q26" s="31">
        <f>2914.5</f>
        <v>2914.5</v>
      </c>
      <c r="R26" s="32" t="s">
        <v>777</v>
      </c>
      <c r="S26" s="33">
        <f>2863.4</f>
        <v>2863.4</v>
      </c>
      <c r="T26" s="30">
        <f>5199640</f>
        <v>5199640</v>
      </c>
      <c r="U26" s="30">
        <f>3371790</f>
        <v>3371790</v>
      </c>
      <c r="V26" s="30">
        <f>14832250687</f>
        <v>14832250687</v>
      </c>
      <c r="W26" s="30">
        <f>9589335467</f>
        <v>9589335467</v>
      </c>
      <c r="X26" s="34">
        <f>21</f>
        <v>21</v>
      </c>
    </row>
    <row r="27" spans="1:24">
      <c r="A27" s="25" t="s">
        <v>1246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16680</f>
        <v>16680</v>
      </c>
      <c r="L27" s="32" t="s">
        <v>1116</v>
      </c>
      <c r="M27" s="31">
        <f>17185</f>
        <v>17185</v>
      </c>
      <c r="N27" s="32" t="s">
        <v>683</v>
      </c>
      <c r="O27" s="31">
        <f>16380</f>
        <v>16380</v>
      </c>
      <c r="P27" s="32" t="s">
        <v>675</v>
      </c>
      <c r="Q27" s="31">
        <f>17160</f>
        <v>17160</v>
      </c>
      <c r="R27" s="32" t="s">
        <v>777</v>
      </c>
      <c r="S27" s="33">
        <f>16850</f>
        <v>16850</v>
      </c>
      <c r="T27" s="30">
        <f>430</f>
        <v>430</v>
      </c>
      <c r="U27" s="30">
        <f>1</f>
        <v>1</v>
      </c>
      <c r="V27" s="30">
        <f>7212730</f>
        <v>7212730</v>
      </c>
      <c r="W27" s="30">
        <f>17160</f>
        <v>17160</v>
      </c>
      <c r="X27" s="34">
        <f>20</f>
        <v>20</v>
      </c>
    </row>
    <row r="28" spans="1:24">
      <c r="A28" s="25" t="s">
        <v>1246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333</f>
        <v>333</v>
      </c>
      <c r="L28" s="32" t="s">
        <v>1116</v>
      </c>
      <c r="M28" s="31">
        <f>333.5</f>
        <v>333.5</v>
      </c>
      <c r="N28" s="32" t="s">
        <v>1116</v>
      </c>
      <c r="O28" s="31">
        <f>301.7</f>
        <v>301.7</v>
      </c>
      <c r="P28" s="32" t="s">
        <v>777</v>
      </c>
      <c r="Q28" s="31">
        <f>308.7</f>
        <v>308.7</v>
      </c>
      <c r="R28" s="32" t="s">
        <v>777</v>
      </c>
      <c r="S28" s="33">
        <f>318.92</f>
        <v>318.92</v>
      </c>
      <c r="T28" s="30">
        <f>35031240</f>
        <v>35031240</v>
      </c>
      <c r="U28" s="30">
        <f>740</f>
        <v>740</v>
      </c>
      <c r="V28" s="30">
        <f>11127537681</f>
        <v>11127537681</v>
      </c>
      <c r="W28" s="30">
        <f>235307</f>
        <v>235307</v>
      </c>
      <c r="X28" s="34">
        <f>21</f>
        <v>21</v>
      </c>
    </row>
    <row r="29" spans="1:24">
      <c r="A29" s="25" t="s">
        <v>1246</v>
      </c>
      <c r="B29" s="25" t="s">
        <v>98</v>
      </c>
      <c r="C29" s="25" t="s">
        <v>99</v>
      </c>
      <c r="D29" s="25" t="s">
        <v>970</v>
      </c>
      <c r="E29" s="26" t="s">
        <v>1248</v>
      </c>
      <c r="F29" s="27" t="s">
        <v>1249</v>
      </c>
      <c r="G29" s="28" t="s">
        <v>43</v>
      </c>
      <c r="H29" s="29"/>
      <c r="I29" s="29" t="s">
        <v>44</v>
      </c>
      <c r="J29" s="30">
        <v>1</v>
      </c>
      <c r="K29" s="31">
        <f>126</f>
        <v>126</v>
      </c>
      <c r="L29" s="32" t="s">
        <v>1116</v>
      </c>
      <c r="M29" s="31">
        <f>128</f>
        <v>128</v>
      </c>
      <c r="N29" s="32" t="s">
        <v>1116</v>
      </c>
      <c r="O29" s="31">
        <f>113</f>
        <v>113</v>
      </c>
      <c r="P29" s="32" t="s">
        <v>677</v>
      </c>
      <c r="Q29" s="31">
        <f>117</f>
        <v>117</v>
      </c>
      <c r="R29" s="32" t="s">
        <v>1123</v>
      </c>
      <c r="S29" s="33">
        <f>118.4</f>
        <v>118.4</v>
      </c>
      <c r="T29" s="30">
        <f>319396414</f>
        <v>319396414</v>
      </c>
      <c r="U29" s="30">
        <f>20063699</f>
        <v>20063699</v>
      </c>
      <c r="V29" s="30">
        <f>37766773931</f>
        <v>37766773931</v>
      </c>
      <c r="W29" s="30">
        <f>2376977233</f>
        <v>2376977233</v>
      </c>
      <c r="X29" s="34">
        <f>10</f>
        <v>10</v>
      </c>
    </row>
    <row r="30" spans="1:24">
      <c r="A30" s="25" t="s">
        <v>1246</v>
      </c>
      <c r="B30" s="25" t="s">
        <v>98</v>
      </c>
      <c r="C30" s="25" t="s">
        <v>99</v>
      </c>
      <c r="D30" s="25" t="s">
        <v>970</v>
      </c>
      <c r="E30" s="26" t="s">
        <v>1248</v>
      </c>
      <c r="F30" s="27" t="s">
        <v>1249</v>
      </c>
      <c r="G30" s="28" t="s">
        <v>43</v>
      </c>
      <c r="H30" s="29"/>
      <c r="I30" s="29" t="s">
        <v>44</v>
      </c>
      <c r="J30" s="30">
        <v>1</v>
      </c>
      <c r="K30" s="31">
        <f>11695</f>
        <v>11695</v>
      </c>
      <c r="L30" s="32" t="s">
        <v>760</v>
      </c>
      <c r="M30" s="31">
        <f>12395</f>
        <v>12395</v>
      </c>
      <c r="N30" s="32" t="s">
        <v>680</v>
      </c>
      <c r="O30" s="31">
        <f>11130</f>
        <v>11130</v>
      </c>
      <c r="P30" s="32" t="s">
        <v>1111</v>
      </c>
      <c r="Q30" s="31">
        <f>11410</f>
        <v>11410</v>
      </c>
      <c r="R30" s="32" t="s">
        <v>777</v>
      </c>
      <c r="S30" s="33">
        <f>11802.73</f>
        <v>11802.73</v>
      </c>
      <c r="T30" s="30">
        <f>11242324</f>
        <v>11242324</v>
      </c>
      <c r="U30" s="30">
        <f>323645</f>
        <v>323645</v>
      </c>
      <c r="V30" s="30">
        <f>131602013407</f>
        <v>131602013407</v>
      </c>
      <c r="W30" s="30">
        <f>3759899867</f>
        <v>3759899867</v>
      </c>
      <c r="X30" s="34">
        <f>11</f>
        <v>11</v>
      </c>
    </row>
    <row r="31" spans="1:24">
      <c r="A31" s="25" t="s">
        <v>1246</v>
      </c>
      <c r="B31" s="25" t="s">
        <v>100</v>
      </c>
      <c r="C31" s="25" t="s">
        <v>101</v>
      </c>
      <c r="D31" s="25" t="s">
        <v>102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</v>
      </c>
      <c r="K31" s="31">
        <f>48600</f>
        <v>48600</v>
      </c>
      <c r="L31" s="32" t="s">
        <v>1116</v>
      </c>
      <c r="M31" s="31">
        <f>54340</f>
        <v>54340</v>
      </c>
      <c r="N31" s="32" t="s">
        <v>1111</v>
      </c>
      <c r="O31" s="31">
        <f>47960</f>
        <v>47960</v>
      </c>
      <c r="P31" s="32" t="s">
        <v>1116</v>
      </c>
      <c r="Q31" s="31">
        <f>52930</f>
        <v>52930</v>
      </c>
      <c r="R31" s="32" t="s">
        <v>777</v>
      </c>
      <c r="S31" s="33">
        <f>51326.67</f>
        <v>51326.67</v>
      </c>
      <c r="T31" s="30">
        <f>266397</f>
        <v>266397</v>
      </c>
      <c r="U31" s="30">
        <f>34</f>
        <v>34</v>
      </c>
      <c r="V31" s="30">
        <f>13705784880</f>
        <v>13705784880</v>
      </c>
      <c r="W31" s="30">
        <f>1775640</f>
        <v>1775640</v>
      </c>
      <c r="X31" s="34">
        <f>21</f>
        <v>21</v>
      </c>
    </row>
    <row r="32" spans="1:24">
      <c r="A32" s="25" t="s">
        <v>1246</v>
      </c>
      <c r="B32" s="25" t="s">
        <v>103</v>
      </c>
      <c r="C32" s="25" t="s">
        <v>104</v>
      </c>
      <c r="D32" s="25" t="s">
        <v>105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10</v>
      </c>
      <c r="K32" s="31">
        <f>308.5</f>
        <v>308.5</v>
      </c>
      <c r="L32" s="32" t="s">
        <v>1116</v>
      </c>
      <c r="M32" s="31">
        <f>312</f>
        <v>312</v>
      </c>
      <c r="N32" s="32" t="s">
        <v>1116</v>
      </c>
      <c r="O32" s="31">
        <f>273.5</f>
        <v>273.5</v>
      </c>
      <c r="P32" s="32" t="s">
        <v>1111</v>
      </c>
      <c r="Q32" s="31">
        <f>279.8</f>
        <v>279.8</v>
      </c>
      <c r="R32" s="32" t="s">
        <v>777</v>
      </c>
      <c r="S32" s="33">
        <f>290.19</f>
        <v>290.19</v>
      </c>
      <c r="T32" s="30">
        <f>1004919610</f>
        <v>1004919610</v>
      </c>
      <c r="U32" s="30">
        <f>4960480</f>
        <v>4960480</v>
      </c>
      <c r="V32" s="30">
        <f>291428768139</f>
        <v>291428768139</v>
      </c>
      <c r="W32" s="30">
        <f>1429282209</f>
        <v>1429282209</v>
      </c>
      <c r="X32" s="34">
        <f>21</f>
        <v>21</v>
      </c>
    </row>
    <row r="33" spans="1:24">
      <c r="A33" s="25" t="s">
        <v>1246</v>
      </c>
      <c r="B33" s="25" t="s">
        <v>106</v>
      </c>
      <c r="C33" s="25" t="s">
        <v>107</v>
      </c>
      <c r="D33" s="25" t="s">
        <v>108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25100</f>
        <v>25100</v>
      </c>
      <c r="L33" s="32" t="s">
        <v>1116</v>
      </c>
      <c r="M33" s="31">
        <f>26200</f>
        <v>26200</v>
      </c>
      <c r="N33" s="32" t="s">
        <v>777</v>
      </c>
      <c r="O33" s="31">
        <f>24930</f>
        <v>24930</v>
      </c>
      <c r="P33" s="32" t="s">
        <v>680</v>
      </c>
      <c r="Q33" s="31">
        <f>25930</f>
        <v>25930</v>
      </c>
      <c r="R33" s="32" t="s">
        <v>777</v>
      </c>
      <c r="S33" s="33">
        <f>25598.33</f>
        <v>25598.33</v>
      </c>
      <c r="T33" s="30">
        <f>21746</f>
        <v>21746</v>
      </c>
      <c r="U33" s="30">
        <f>771</f>
        <v>771</v>
      </c>
      <c r="V33" s="30">
        <f>558843454</f>
        <v>558843454</v>
      </c>
      <c r="W33" s="30">
        <f>19859204</f>
        <v>19859204</v>
      </c>
      <c r="X33" s="34">
        <f>21</f>
        <v>21</v>
      </c>
    </row>
    <row r="34" spans="1:24">
      <c r="A34" s="25" t="s">
        <v>1246</v>
      </c>
      <c r="B34" s="25" t="s">
        <v>109</v>
      </c>
      <c r="C34" s="25" t="s">
        <v>900</v>
      </c>
      <c r="D34" s="25" t="s">
        <v>901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39770</f>
        <v>39770</v>
      </c>
      <c r="L34" s="32" t="s">
        <v>1116</v>
      </c>
      <c r="M34" s="31">
        <f>44500</f>
        <v>44500</v>
      </c>
      <c r="N34" s="32" t="s">
        <v>1111</v>
      </c>
      <c r="O34" s="31">
        <f>39250</f>
        <v>39250</v>
      </c>
      <c r="P34" s="32" t="s">
        <v>1116</v>
      </c>
      <c r="Q34" s="31">
        <f>43420</f>
        <v>43420</v>
      </c>
      <c r="R34" s="32" t="s">
        <v>777</v>
      </c>
      <c r="S34" s="33">
        <f>42049.05</f>
        <v>42049.05</v>
      </c>
      <c r="T34" s="30">
        <f>922087</f>
        <v>922087</v>
      </c>
      <c r="U34" s="30">
        <f>9898</f>
        <v>9898</v>
      </c>
      <c r="V34" s="30">
        <f>38898290890</f>
        <v>38898290890</v>
      </c>
      <c r="W34" s="30">
        <f>419344850</f>
        <v>419344850</v>
      </c>
      <c r="X34" s="34">
        <f>21</f>
        <v>21</v>
      </c>
    </row>
    <row r="35" spans="1:24">
      <c r="A35" s="25" t="s">
        <v>1246</v>
      </c>
      <c r="B35" s="25" t="s">
        <v>110</v>
      </c>
      <c r="C35" s="25" t="s">
        <v>902</v>
      </c>
      <c r="D35" s="25" t="s">
        <v>903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316</f>
        <v>316</v>
      </c>
      <c r="L35" s="32" t="s">
        <v>1116</v>
      </c>
      <c r="M35" s="31">
        <f>320</f>
        <v>320</v>
      </c>
      <c r="N35" s="32" t="s">
        <v>1116</v>
      </c>
      <c r="O35" s="31">
        <f>280</f>
        <v>280</v>
      </c>
      <c r="P35" s="32" t="s">
        <v>1111</v>
      </c>
      <c r="Q35" s="31">
        <f>286</f>
        <v>286</v>
      </c>
      <c r="R35" s="32" t="s">
        <v>777</v>
      </c>
      <c r="S35" s="33">
        <f>297.62</f>
        <v>297.62</v>
      </c>
      <c r="T35" s="30">
        <f>35915963</f>
        <v>35915963</v>
      </c>
      <c r="U35" s="30">
        <f>560311</f>
        <v>560311</v>
      </c>
      <c r="V35" s="30">
        <f>10614239428</f>
        <v>10614239428</v>
      </c>
      <c r="W35" s="30">
        <f>165284499</f>
        <v>165284499</v>
      </c>
      <c r="X35" s="34">
        <f>21</f>
        <v>21</v>
      </c>
    </row>
    <row r="36" spans="1:24">
      <c r="A36" s="25" t="s">
        <v>1246</v>
      </c>
      <c r="B36" s="25" t="s">
        <v>111</v>
      </c>
      <c r="C36" s="25" t="s">
        <v>904</v>
      </c>
      <c r="D36" s="25" t="s">
        <v>905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34810</f>
        <v>34810</v>
      </c>
      <c r="L36" s="32" t="s">
        <v>1116</v>
      </c>
      <c r="M36" s="31">
        <f>38200</f>
        <v>38200</v>
      </c>
      <c r="N36" s="32" t="s">
        <v>777</v>
      </c>
      <c r="O36" s="31">
        <f>34600</f>
        <v>34600</v>
      </c>
      <c r="P36" s="32" t="s">
        <v>680</v>
      </c>
      <c r="Q36" s="31">
        <f>37450</f>
        <v>37450</v>
      </c>
      <c r="R36" s="32" t="s">
        <v>777</v>
      </c>
      <c r="S36" s="33">
        <f>36216.67</f>
        <v>36216.67</v>
      </c>
      <c r="T36" s="30">
        <f>174088</f>
        <v>174088</v>
      </c>
      <c r="U36" s="30">
        <f>4212</f>
        <v>4212</v>
      </c>
      <c r="V36" s="30">
        <f>6388183525</f>
        <v>6388183525</v>
      </c>
      <c r="W36" s="30">
        <f>153138645</f>
        <v>153138645</v>
      </c>
      <c r="X36" s="34">
        <f>21</f>
        <v>21</v>
      </c>
    </row>
    <row r="37" spans="1:24">
      <c r="A37" s="25" t="s">
        <v>1246</v>
      </c>
      <c r="B37" s="25" t="s">
        <v>112</v>
      </c>
      <c r="C37" s="25" t="s">
        <v>906</v>
      </c>
      <c r="D37" s="25" t="s">
        <v>907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479</f>
        <v>479</v>
      </c>
      <c r="L37" s="32" t="s">
        <v>1116</v>
      </c>
      <c r="M37" s="31">
        <f>481</f>
        <v>481</v>
      </c>
      <c r="N37" s="32" t="s">
        <v>1116</v>
      </c>
      <c r="O37" s="31">
        <f>435</f>
        <v>435</v>
      </c>
      <c r="P37" s="32" t="s">
        <v>777</v>
      </c>
      <c r="Q37" s="31">
        <f>443</f>
        <v>443</v>
      </c>
      <c r="R37" s="32" t="s">
        <v>777</v>
      </c>
      <c r="S37" s="33">
        <f>459.71</f>
        <v>459.71</v>
      </c>
      <c r="T37" s="30">
        <f>2599600</f>
        <v>2599600</v>
      </c>
      <c r="U37" s="30">
        <f>9069</f>
        <v>9069</v>
      </c>
      <c r="V37" s="30">
        <f>1187496209</f>
        <v>1187496209</v>
      </c>
      <c r="W37" s="30">
        <f>4086314</f>
        <v>4086314</v>
      </c>
      <c r="X37" s="34">
        <f>21</f>
        <v>21</v>
      </c>
    </row>
    <row r="38" spans="1:24">
      <c r="A38" s="25" t="s">
        <v>1246</v>
      </c>
      <c r="B38" s="25" t="s">
        <v>113</v>
      </c>
      <c r="C38" s="25" t="s">
        <v>114</v>
      </c>
      <c r="D38" s="25" t="s">
        <v>115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38540</f>
        <v>38540</v>
      </c>
      <c r="L38" s="32" t="s">
        <v>1116</v>
      </c>
      <c r="M38" s="31">
        <f>40800</f>
        <v>40800</v>
      </c>
      <c r="N38" s="32" t="s">
        <v>1111</v>
      </c>
      <c r="O38" s="31">
        <f>38310</f>
        <v>38310</v>
      </c>
      <c r="P38" s="32" t="s">
        <v>1116</v>
      </c>
      <c r="Q38" s="31">
        <f>39960</f>
        <v>39960</v>
      </c>
      <c r="R38" s="32" t="s">
        <v>777</v>
      </c>
      <c r="S38" s="33">
        <f>39599.52</f>
        <v>39599.519999999997</v>
      </c>
      <c r="T38" s="30">
        <f>141483</f>
        <v>141483</v>
      </c>
      <c r="U38" s="30">
        <f>63110</f>
        <v>63110</v>
      </c>
      <c r="V38" s="30">
        <f>5622215958</f>
        <v>5622215958</v>
      </c>
      <c r="W38" s="30">
        <f>2496280058</f>
        <v>2496280058</v>
      </c>
      <c r="X38" s="34">
        <f>21</f>
        <v>21</v>
      </c>
    </row>
    <row r="39" spans="1:24">
      <c r="A39" s="25" t="s">
        <v>1246</v>
      </c>
      <c r="B39" s="25" t="s">
        <v>116</v>
      </c>
      <c r="C39" s="25" t="s">
        <v>117</v>
      </c>
      <c r="D39" s="25" t="s">
        <v>118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</v>
      </c>
      <c r="K39" s="31">
        <f>38510</f>
        <v>38510</v>
      </c>
      <c r="L39" s="32" t="s">
        <v>1116</v>
      </c>
      <c r="M39" s="31">
        <f>40850</f>
        <v>40850</v>
      </c>
      <c r="N39" s="32" t="s">
        <v>1111</v>
      </c>
      <c r="O39" s="31">
        <f>38370</f>
        <v>38370</v>
      </c>
      <c r="P39" s="32" t="s">
        <v>1116</v>
      </c>
      <c r="Q39" s="31">
        <f>40390</f>
        <v>40390</v>
      </c>
      <c r="R39" s="32" t="s">
        <v>777</v>
      </c>
      <c r="S39" s="33">
        <f>39728.1</f>
        <v>39728.1</v>
      </c>
      <c r="T39" s="30">
        <f>136188</f>
        <v>136188</v>
      </c>
      <c r="U39" s="30">
        <f>52599</f>
        <v>52599</v>
      </c>
      <c r="V39" s="30">
        <f>5375363059</f>
        <v>5375363059</v>
      </c>
      <c r="W39" s="30">
        <f>2056592129</f>
        <v>2056592129</v>
      </c>
      <c r="X39" s="34">
        <f>21</f>
        <v>21</v>
      </c>
    </row>
    <row r="40" spans="1:24">
      <c r="A40" s="25" t="s">
        <v>1246</v>
      </c>
      <c r="B40" s="25" t="s">
        <v>119</v>
      </c>
      <c r="C40" s="25" t="s">
        <v>120</v>
      </c>
      <c r="D40" s="25" t="s">
        <v>121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1720</f>
        <v>1720</v>
      </c>
      <c r="L40" s="32" t="s">
        <v>1116</v>
      </c>
      <c r="M40" s="31">
        <f>1722</f>
        <v>1722</v>
      </c>
      <c r="N40" s="32" t="s">
        <v>777</v>
      </c>
      <c r="O40" s="31">
        <f>1652</f>
        <v>1652</v>
      </c>
      <c r="P40" s="32" t="s">
        <v>680</v>
      </c>
      <c r="Q40" s="31">
        <f>1703.5</f>
        <v>1703.5</v>
      </c>
      <c r="R40" s="32" t="s">
        <v>777</v>
      </c>
      <c r="S40" s="33">
        <f>1682.29</f>
        <v>1682.29</v>
      </c>
      <c r="T40" s="30">
        <f>2712230</f>
        <v>2712230</v>
      </c>
      <c r="U40" s="30">
        <f>1041830</f>
        <v>1041830</v>
      </c>
      <c r="V40" s="30">
        <f>4565713286</f>
        <v>4565713286</v>
      </c>
      <c r="W40" s="30">
        <f>1745479421</f>
        <v>1745479421</v>
      </c>
      <c r="X40" s="34">
        <f>21</f>
        <v>21</v>
      </c>
    </row>
    <row r="41" spans="1:24">
      <c r="A41" s="25" t="s">
        <v>1246</v>
      </c>
      <c r="B41" s="25" t="s">
        <v>122</v>
      </c>
      <c r="C41" s="25" t="s">
        <v>123</v>
      </c>
      <c r="D41" s="25" t="s">
        <v>124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10</v>
      </c>
      <c r="K41" s="31">
        <f>2193.5</f>
        <v>2193.5</v>
      </c>
      <c r="L41" s="32" t="s">
        <v>1116</v>
      </c>
      <c r="M41" s="31">
        <f>2250</f>
        <v>2250</v>
      </c>
      <c r="N41" s="32" t="s">
        <v>876</v>
      </c>
      <c r="O41" s="31">
        <f>2173</f>
        <v>2173</v>
      </c>
      <c r="P41" s="32" t="s">
        <v>680</v>
      </c>
      <c r="Q41" s="31">
        <f>2238</f>
        <v>2238</v>
      </c>
      <c r="R41" s="32" t="s">
        <v>777</v>
      </c>
      <c r="S41" s="33">
        <f>2208.75</f>
        <v>2208.75</v>
      </c>
      <c r="T41" s="30">
        <f>8660</f>
        <v>8660</v>
      </c>
      <c r="U41" s="30">
        <f>50</f>
        <v>50</v>
      </c>
      <c r="V41" s="30">
        <f>19136805</f>
        <v>19136805</v>
      </c>
      <c r="W41" s="30">
        <f>111045</f>
        <v>111045</v>
      </c>
      <c r="X41" s="34">
        <f>20</f>
        <v>20</v>
      </c>
    </row>
    <row r="42" spans="1:24">
      <c r="A42" s="25" t="s">
        <v>1246</v>
      </c>
      <c r="B42" s="25" t="s">
        <v>1119</v>
      </c>
      <c r="C42" s="25" t="s">
        <v>1120</v>
      </c>
      <c r="D42" s="25" t="s">
        <v>1121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1990</f>
        <v>1990</v>
      </c>
      <c r="L42" s="32" t="s">
        <v>1116</v>
      </c>
      <c r="M42" s="31">
        <f>2040</f>
        <v>2040</v>
      </c>
      <c r="N42" s="32" t="s">
        <v>777</v>
      </c>
      <c r="O42" s="31">
        <f>1980</f>
        <v>1980</v>
      </c>
      <c r="P42" s="32" t="s">
        <v>876</v>
      </c>
      <c r="Q42" s="31">
        <f>2035</f>
        <v>2035</v>
      </c>
      <c r="R42" s="32" t="s">
        <v>777</v>
      </c>
      <c r="S42" s="33">
        <f>2007.38</f>
        <v>2007.38</v>
      </c>
      <c r="T42" s="30">
        <f>131990</f>
        <v>131990</v>
      </c>
      <c r="U42" s="30">
        <f>4</f>
        <v>4</v>
      </c>
      <c r="V42" s="30">
        <f>264092835</f>
        <v>264092835</v>
      </c>
      <c r="W42" s="30">
        <f>8119</f>
        <v>8119</v>
      </c>
      <c r="X42" s="34">
        <f>21</f>
        <v>21</v>
      </c>
    </row>
    <row r="43" spans="1:24">
      <c r="A43" s="25" t="s">
        <v>1246</v>
      </c>
      <c r="B43" s="25" t="s">
        <v>125</v>
      </c>
      <c r="C43" s="25" t="s">
        <v>908</v>
      </c>
      <c r="D43" s="25" t="s">
        <v>909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2528</f>
        <v>2528</v>
      </c>
      <c r="L43" s="32" t="s">
        <v>1116</v>
      </c>
      <c r="M43" s="31">
        <f>2543</f>
        <v>2543</v>
      </c>
      <c r="N43" s="32" t="s">
        <v>1116</v>
      </c>
      <c r="O43" s="31">
        <f>2382</f>
        <v>2382</v>
      </c>
      <c r="P43" s="32" t="s">
        <v>1111</v>
      </c>
      <c r="Q43" s="31">
        <f>2409</f>
        <v>2409</v>
      </c>
      <c r="R43" s="32" t="s">
        <v>777</v>
      </c>
      <c r="S43" s="33">
        <f>2453.71</f>
        <v>2453.71</v>
      </c>
      <c r="T43" s="30">
        <f>2040711</f>
        <v>2040711</v>
      </c>
      <c r="U43" s="30">
        <f>221102</f>
        <v>221102</v>
      </c>
      <c r="V43" s="30">
        <f>4953037585</f>
        <v>4953037585</v>
      </c>
      <c r="W43" s="30">
        <f>527721520</f>
        <v>527721520</v>
      </c>
      <c r="X43" s="34">
        <f>21</f>
        <v>21</v>
      </c>
    </row>
    <row r="44" spans="1:24">
      <c r="A44" s="25" t="s">
        <v>1246</v>
      </c>
      <c r="B44" s="25" t="s">
        <v>126</v>
      </c>
      <c r="C44" s="25" t="s">
        <v>910</v>
      </c>
      <c r="D44" s="25" t="s">
        <v>911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3005</f>
        <v>3005</v>
      </c>
      <c r="L44" s="32" t="s">
        <v>1116</v>
      </c>
      <c r="M44" s="31">
        <f>3010</f>
        <v>3010</v>
      </c>
      <c r="N44" s="32" t="s">
        <v>680</v>
      </c>
      <c r="O44" s="31">
        <f>2861</f>
        <v>2861</v>
      </c>
      <c r="P44" s="32" t="s">
        <v>777</v>
      </c>
      <c r="Q44" s="31">
        <f>2889</f>
        <v>2889</v>
      </c>
      <c r="R44" s="32" t="s">
        <v>777</v>
      </c>
      <c r="S44" s="33">
        <f>2938.67</f>
        <v>2938.67</v>
      </c>
      <c r="T44" s="30">
        <f>681881</f>
        <v>681881</v>
      </c>
      <c r="U44" s="30">
        <f>381240</f>
        <v>381240</v>
      </c>
      <c r="V44" s="30">
        <f>1970129917</f>
        <v>1970129917</v>
      </c>
      <c r="W44" s="30">
        <f>1097150873</f>
        <v>1097150873</v>
      </c>
      <c r="X44" s="34">
        <f>21</f>
        <v>21</v>
      </c>
    </row>
    <row r="45" spans="1:24">
      <c r="A45" s="25" t="s">
        <v>1246</v>
      </c>
      <c r="B45" s="25" t="s">
        <v>127</v>
      </c>
      <c r="C45" s="25" t="s">
        <v>128</v>
      </c>
      <c r="D45" s="25" t="s">
        <v>129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30520</f>
        <v>30520</v>
      </c>
      <c r="L45" s="32" t="s">
        <v>1116</v>
      </c>
      <c r="M45" s="31">
        <f>34210</f>
        <v>34210</v>
      </c>
      <c r="N45" s="32" t="s">
        <v>1111</v>
      </c>
      <c r="O45" s="31">
        <f>30170</f>
        <v>30170</v>
      </c>
      <c r="P45" s="32" t="s">
        <v>1116</v>
      </c>
      <c r="Q45" s="31">
        <f>33360</f>
        <v>33360</v>
      </c>
      <c r="R45" s="32" t="s">
        <v>777</v>
      </c>
      <c r="S45" s="33">
        <f>32311.43</f>
        <v>32311.43</v>
      </c>
      <c r="T45" s="30">
        <f>6392986</f>
        <v>6392986</v>
      </c>
      <c r="U45" s="30">
        <f>50900</f>
        <v>50900</v>
      </c>
      <c r="V45" s="30">
        <f>206176536280</f>
        <v>206176536280</v>
      </c>
      <c r="W45" s="30">
        <f>1654653420</f>
        <v>1654653420</v>
      </c>
      <c r="X45" s="34">
        <f>21</f>
        <v>21</v>
      </c>
    </row>
    <row r="46" spans="1:24">
      <c r="A46" s="25" t="s">
        <v>1246</v>
      </c>
      <c r="B46" s="25" t="s">
        <v>130</v>
      </c>
      <c r="C46" s="25" t="s">
        <v>131</v>
      </c>
      <c r="D46" s="25" t="s">
        <v>132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506</f>
        <v>506</v>
      </c>
      <c r="L46" s="32" t="s">
        <v>1116</v>
      </c>
      <c r="M46" s="31">
        <f>513</f>
        <v>513</v>
      </c>
      <c r="N46" s="32" t="s">
        <v>1116</v>
      </c>
      <c r="O46" s="31">
        <f>448</f>
        <v>448</v>
      </c>
      <c r="P46" s="32" t="s">
        <v>1111</v>
      </c>
      <c r="Q46" s="31">
        <f>460</f>
        <v>460</v>
      </c>
      <c r="R46" s="32" t="s">
        <v>777</v>
      </c>
      <c r="S46" s="33">
        <f>476.24</f>
        <v>476.24</v>
      </c>
      <c r="T46" s="30">
        <f>299719815</f>
        <v>299719815</v>
      </c>
      <c r="U46" s="30">
        <f>1959234</f>
        <v>1959234</v>
      </c>
      <c r="V46" s="30">
        <f>142988515979</f>
        <v>142988515979</v>
      </c>
      <c r="W46" s="30">
        <f>926319466</f>
        <v>926319466</v>
      </c>
      <c r="X46" s="34">
        <f>21</f>
        <v>21</v>
      </c>
    </row>
    <row r="47" spans="1:24">
      <c r="A47" s="25" t="s">
        <v>1246</v>
      </c>
      <c r="B47" s="25" t="s">
        <v>135</v>
      </c>
      <c r="C47" s="25" t="s">
        <v>916</v>
      </c>
      <c r="D47" s="25" t="s">
        <v>917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609</f>
        <v>609</v>
      </c>
      <c r="L47" s="32" t="s">
        <v>1116</v>
      </c>
      <c r="M47" s="31">
        <f>621</f>
        <v>621</v>
      </c>
      <c r="N47" s="32" t="s">
        <v>675</v>
      </c>
      <c r="O47" s="31">
        <f>554</f>
        <v>554</v>
      </c>
      <c r="P47" s="32" t="s">
        <v>777</v>
      </c>
      <c r="Q47" s="31">
        <f>568</f>
        <v>568</v>
      </c>
      <c r="R47" s="32" t="s">
        <v>777</v>
      </c>
      <c r="S47" s="33">
        <f>587.24</f>
        <v>587.24</v>
      </c>
      <c r="T47" s="30">
        <f>96604</f>
        <v>96604</v>
      </c>
      <c r="U47" s="30" t="str">
        <f>"－"</f>
        <v>－</v>
      </c>
      <c r="V47" s="30">
        <f>57487611</f>
        <v>57487611</v>
      </c>
      <c r="W47" s="30" t="str">
        <f>"－"</f>
        <v>－</v>
      </c>
      <c r="X47" s="34">
        <f>21</f>
        <v>21</v>
      </c>
    </row>
    <row r="48" spans="1:24">
      <c r="A48" s="25" t="s">
        <v>1246</v>
      </c>
      <c r="B48" s="25" t="s">
        <v>136</v>
      </c>
      <c r="C48" s="25" t="s">
        <v>137</v>
      </c>
      <c r="D48" s="25" t="s">
        <v>138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10</v>
      </c>
      <c r="K48" s="31">
        <f>595.5</f>
        <v>595.5</v>
      </c>
      <c r="L48" s="32" t="s">
        <v>1116</v>
      </c>
      <c r="M48" s="31">
        <f>601.3</f>
        <v>601.29999999999995</v>
      </c>
      <c r="N48" s="32" t="s">
        <v>680</v>
      </c>
      <c r="O48" s="31">
        <f>560</f>
        <v>560</v>
      </c>
      <c r="P48" s="32" t="s">
        <v>1111</v>
      </c>
      <c r="Q48" s="31">
        <f>570</f>
        <v>570</v>
      </c>
      <c r="R48" s="32" t="s">
        <v>777</v>
      </c>
      <c r="S48" s="33">
        <f>577.38</f>
        <v>577.38</v>
      </c>
      <c r="T48" s="30">
        <f>79050</f>
        <v>79050</v>
      </c>
      <c r="U48" s="30" t="str">
        <f>"－"</f>
        <v>－</v>
      </c>
      <c r="V48" s="30">
        <f>45893543</f>
        <v>45893543</v>
      </c>
      <c r="W48" s="30" t="str">
        <f>"－"</f>
        <v>－</v>
      </c>
      <c r="X48" s="34">
        <f>21</f>
        <v>21</v>
      </c>
    </row>
    <row r="49" spans="1:24">
      <c r="A49" s="25" t="s">
        <v>1246</v>
      </c>
      <c r="B49" s="25" t="s">
        <v>139</v>
      </c>
      <c r="C49" s="25" t="s">
        <v>140</v>
      </c>
      <c r="D49" s="25" t="s">
        <v>141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</v>
      </c>
      <c r="K49" s="31">
        <f>241</f>
        <v>241</v>
      </c>
      <c r="L49" s="32" t="s">
        <v>1116</v>
      </c>
      <c r="M49" s="31">
        <f>250</f>
        <v>250</v>
      </c>
      <c r="N49" s="32" t="s">
        <v>760</v>
      </c>
      <c r="O49" s="31">
        <f>227</f>
        <v>227</v>
      </c>
      <c r="P49" s="32" t="s">
        <v>677</v>
      </c>
      <c r="Q49" s="31">
        <f>232</f>
        <v>232</v>
      </c>
      <c r="R49" s="32" t="s">
        <v>777</v>
      </c>
      <c r="S49" s="33">
        <f>234.38</f>
        <v>234.38</v>
      </c>
      <c r="T49" s="30">
        <f>146504</f>
        <v>146504</v>
      </c>
      <c r="U49" s="30" t="str">
        <f>"－"</f>
        <v>－</v>
      </c>
      <c r="V49" s="30">
        <f>34659328</f>
        <v>34659328</v>
      </c>
      <c r="W49" s="30" t="str">
        <f>"－"</f>
        <v>－</v>
      </c>
      <c r="X49" s="34">
        <f>21</f>
        <v>21</v>
      </c>
    </row>
    <row r="50" spans="1:24">
      <c r="A50" s="25" t="s">
        <v>1246</v>
      </c>
      <c r="B50" s="25" t="s">
        <v>142</v>
      </c>
      <c r="C50" s="25" t="s">
        <v>143</v>
      </c>
      <c r="D50" s="25" t="s">
        <v>144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10</v>
      </c>
      <c r="K50" s="31">
        <f>2762.5</f>
        <v>2762.5</v>
      </c>
      <c r="L50" s="32" t="s">
        <v>1116</v>
      </c>
      <c r="M50" s="31">
        <f>2880.5</f>
        <v>2880.5</v>
      </c>
      <c r="N50" s="32" t="s">
        <v>777</v>
      </c>
      <c r="O50" s="31">
        <f>2748</f>
        <v>2748</v>
      </c>
      <c r="P50" s="32" t="s">
        <v>680</v>
      </c>
      <c r="Q50" s="31">
        <f>2857.5</f>
        <v>2857.5</v>
      </c>
      <c r="R50" s="32" t="s">
        <v>777</v>
      </c>
      <c r="S50" s="33">
        <f>2809.45</f>
        <v>2809.45</v>
      </c>
      <c r="T50" s="30">
        <f>854640</f>
        <v>854640</v>
      </c>
      <c r="U50" s="30">
        <f>456920</f>
        <v>456920</v>
      </c>
      <c r="V50" s="30">
        <f>2407029855</f>
        <v>2407029855</v>
      </c>
      <c r="W50" s="30">
        <f>1283508630</f>
        <v>1283508630</v>
      </c>
      <c r="X50" s="34">
        <f>21</f>
        <v>21</v>
      </c>
    </row>
    <row r="51" spans="1:24">
      <c r="A51" s="25" t="s">
        <v>1246</v>
      </c>
      <c r="B51" s="25" t="s">
        <v>145</v>
      </c>
      <c r="C51" s="25" t="s">
        <v>146</v>
      </c>
      <c r="D51" s="25" t="s">
        <v>147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</v>
      </c>
      <c r="K51" s="31">
        <f>25100</f>
        <v>25100</v>
      </c>
      <c r="L51" s="32" t="s">
        <v>1116</v>
      </c>
      <c r="M51" s="31">
        <f>26190</f>
        <v>26190</v>
      </c>
      <c r="N51" s="32" t="s">
        <v>1111</v>
      </c>
      <c r="O51" s="31">
        <f>25000</f>
        <v>25000</v>
      </c>
      <c r="P51" s="32" t="s">
        <v>680</v>
      </c>
      <c r="Q51" s="31">
        <f>25690</f>
        <v>25690</v>
      </c>
      <c r="R51" s="32" t="s">
        <v>777</v>
      </c>
      <c r="S51" s="33">
        <f>25354.76</f>
        <v>25354.76</v>
      </c>
      <c r="T51" s="30">
        <f>44941</f>
        <v>44941</v>
      </c>
      <c r="U51" s="30">
        <f>20000</f>
        <v>20000</v>
      </c>
      <c r="V51" s="30">
        <f>1148878128</f>
        <v>1148878128</v>
      </c>
      <c r="W51" s="30">
        <f>510206738</f>
        <v>510206738</v>
      </c>
      <c r="X51" s="34">
        <f>21</f>
        <v>21</v>
      </c>
    </row>
    <row r="52" spans="1:24">
      <c r="A52" s="25" t="s">
        <v>1246</v>
      </c>
      <c r="B52" s="25" t="s">
        <v>148</v>
      </c>
      <c r="C52" s="25" t="s">
        <v>149</v>
      </c>
      <c r="D52" s="25" t="s">
        <v>150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10</v>
      </c>
      <c r="K52" s="31">
        <f>277.3</f>
        <v>277.3</v>
      </c>
      <c r="L52" s="32" t="s">
        <v>1116</v>
      </c>
      <c r="M52" s="31">
        <f>290.5</f>
        <v>290.5</v>
      </c>
      <c r="N52" s="32" t="s">
        <v>777</v>
      </c>
      <c r="O52" s="31">
        <f>275.8</f>
        <v>275.8</v>
      </c>
      <c r="P52" s="32" t="s">
        <v>680</v>
      </c>
      <c r="Q52" s="31">
        <f>288</f>
        <v>288</v>
      </c>
      <c r="R52" s="32" t="s">
        <v>777</v>
      </c>
      <c r="S52" s="33">
        <f>282.9</f>
        <v>282.89999999999998</v>
      </c>
      <c r="T52" s="30">
        <f>83380300</f>
        <v>83380300</v>
      </c>
      <c r="U52" s="30">
        <f>38801240</f>
        <v>38801240</v>
      </c>
      <c r="V52" s="30">
        <f>23564585177</f>
        <v>23564585177</v>
      </c>
      <c r="W52" s="30">
        <f>10941962830</f>
        <v>10941962830</v>
      </c>
      <c r="X52" s="34">
        <f>21</f>
        <v>21</v>
      </c>
    </row>
    <row r="53" spans="1:24">
      <c r="A53" s="25" t="s">
        <v>1246</v>
      </c>
      <c r="B53" s="25" t="s">
        <v>151</v>
      </c>
      <c r="C53" s="25" t="s">
        <v>152</v>
      </c>
      <c r="D53" s="25" t="s">
        <v>153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1719</f>
        <v>1719</v>
      </c>
      <c r="L53" s="32" t="s">
        <v>1116</v>
      </c>
      <c r="M53" s="31">
        <f>1735</f>
        <v>1735</v>
      </c>
      <c r="N53" s="32" t="s">
        <v>777</v>
      </c>
      <c r="O53" s="31">
        <f>1664</f>
        <v>1664</v>
      </c>
      <c r="P53" s="32" t="s">
        <v>680</v>
      </c>
      <c r="Q53" s="31">
        <f>1718</f>
        <v>1718</v>
      </c>
      <c r="R53" s="32" t="s">
        <v>777</v>
      </c>
      <c r="S53" s="33">
        <f>1692.62</f>
        <v>1692.62</v>
      </c>
      <c r="T53" s="30">
        <f>16150863</f>
        <v>16150863</v>
      </c>
      <c r="U53" s="30">
        <f>12178031</f>
        <v>12178031</v>
      </c>
      <c r="V53" s="30">
        <f>27114389405</f>
        <v>27114389405</v>
      </c>
      <c r="W53" s="30">
        <f>20382714590</f>
        <v>20382714590</v>
      </c>
      <c r="X53" s="34">
        <f>21</f>
        <v>21</v>
      </c>
    </row>
    <row r="54" spans="1:24">
      <c r="A54" s="25" t="s">
        <v>1246</v>
      </c>
      <c r="B54" s="25" t="s">
        <v>154</v>
      </c>
      <c r="C54" s="25" t="s">
        <v>155</v>
      </c>
      <c r="D54" s="25" t="s">
        <v>156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2546</f>
        <v>2546</v>
      </c>
      <c r="L54" s="32" t="s">
        <v>1116</v>
      </c>
      <c r="M54" s="31">
        <f>2637</f>
        <v>2637</v>
      </c>
      <c r="N54" s="32" t="s">
        <v>777</v>
      </c>
      <c r="O54" s="31">
        <f>2537</f>
        <v>2537</v>
      </c>
      <c r="P54" s="32" t="s">
        <v>680</v>
      </c>
      <c r="Q54" s="31">
        <f>2609</f>
        <v>2609</v>
      </c>
      <c r="R54" s="32" t="s">
        <v>777</v>
      </c>
      <c r="S54" s="33">
        <f>2588.19</f>
        <v>2588.19</v>
      </c>
      <c r="T54" s="30">
        <f>30295</f>
        <v>30295</v>
      </c>
      <c r="U54" s="30">
        <f>20329</f>
        <v>20329</v>
      </c>
      <c r="V54" s="30">
        <f>79112971</f>
        <v>79112971</v>
      </c>
      <c r="W54" s="30">
        <f>53349729</f>
        <v>53349729</v>
      </c>
      <c r="X54" s="34">
        <f>21</f>
        <v>21</v>
      </c>
    </row>
    <row r="55" spans="1:24">
      <c r="A55" s="25" t="s">
        <v>1246</v>
      </c>
      <c r="B55" s="25" t="s">
        <v>157</v>
      </c>
      <c r="C55" s="25" t="s">
        <v>158</v>
      </c>
      <c r="D55" s="25" t="s">
        <v>159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3670</f>
        <v>3670</v>
      </c>
      <c r="L55" s="32" t="s">
        <v>1116</v>
      </c>
      <c r="M55" s="31">
        <f>3900</f>
        <v>3900</v>
      </c>
      <c r="N55" s="32" t="s">
        <v>777</v>
      </c>
      <c r="O55" s="31">
        <f>3670</f>
        <v>3670</v>
      </c>
      <c r="P55" s="32" t="s">
        <v>1116</v>
      </c>
      <c r="Q55" s="31">
        <f>3865</f>
        <v>3865</v>
      </c>
      <c r="R55" s="32" t="s">
        <v>777</v>
      </c>
      <c r="S55" s="33">
        <f>3759.76</f>
        <v>3759.76</v>
      </c>
      <c r="T55" s="30">
        <f>1480772</f>
        <v>1480772</v>
      </c>
      <c r="U55" s="30">
        <f>841468</f>
        <v>841468</v>
      </c>
      <c r="V55" s="30">
        <f>5558007920</f>
        <v>5558007920</v>
      </c>
      <c r="W55" s="30">
        <f>3153395495</f>
        <v>3153395495</v>
      </c>
      <c r="X55" s="34">
        <f>21</f>
        <v>21</v>
      </c>
    </row>
    <row r="56" spans="1:24">
      <c r="A56" s="25" t="s">
        <v>1246</v>
      </c>
      <c r="B56" s="25" t="s">
        <v>160</v>
      </c>
      <c r="C56" s="25" t="s">
        <v>918</v>
      </c>
      <c r="D56" s="25" t="s">
        <v>919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36180</f>
        <v>36180</v>
      </c>
      <c r="L56" s="32" t="s">
        <v>876</v>
      </c>
      <c r="M56" s="31">
        <f>36600</f>
        <v>36600</v>
      </c>
      <c r="N56" s="32" t="s">
        <v>677</v>
      </c>
      <c r="O56" s="31">
        <f>36180</f>
        <v>36180</v>
      </c>
      <c r="P56" s="32" t="s">
        <v>876</v>
      </c>
      <c r="Q56" s="31">
        <f>36420</f>
        <v>36420</v>
      </c>
      <c r="R56" s="32" t="s">
        <v>1111</v>
      </c>
      <c r="S56" s="33">
        <f>36400</f>
        <v>36400</v>
      </c>
      <c r="T56" s="30">
        <f>477</f>
        <v>477</v>
      </c>
      <c r="U56" s="30">
        <f>2</f>
        <v>2</v>
      </c>
      <c r="V56" s="30">
        <f>17374200</f>
        <v>17374200</v>
      </c>
      <c r="W56" s="30">
        <f>72840</f>
        <v>72840</v>
      </c>
      <c r="X56" s="34">
        <f>3</f>
        <v>3</v>
      </c>
    </row>
    <row r="57" spans="1:24">
      <c r="A57" s="25" t="s">
        <v>1246</v>
      </c>
      <c r="B57" s="25" t="s">
        <v>161</v>
      </c>
      <c r="C57" s="25" t="s">
        <v>162</v>
      </c>
      <c r="D57" s="25" t="s">
        <v>163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27510</f>
        <v>27510</v>
      </c>
      <c r="L57" s="32" t="s">
        <v>1145</v>
      </c>
      <c r="M57" s="31">
        <f>28070</f>
        <v>28070</v>
      </c>
      <c r="N57" s="32" t="s">
        <v>678</v>
      </c>
      <c r="O57" s="31">
        <f>26730</f>
        <v>26730</v>
      </c>
      <c r="P57" s="32" t="s">
        <v>680</v>
      </c>
      <c r="Q57" s="31">
        <f>27995</f>
        <v>27995</v>
      </c>
      <c r="R57" s="32" t="s">
        <v>777</v>
      </c>
      <c r="S57" s="33">
        <f>27554.29</f>
        <v>27554.29</v>
      </c>
      <c r="T57" s="30">
        <f>760</f>
        <v>760</v>
      </c>
      <c r="U57" s="30" t="str">
        <f>"－"</f>
        <v>－</v>
      </c>
      <c r="V57" s="30">
        <f>21158280</f>
        <v>21158280</v>
      </c>
      <c r="W57" s="30" t="str">
        <f>"－"</f>
        <v>－</v>
      </c>
      <c r="X57" s="34">
        <f>7</f>
        <v>7</v>
      </c>
    </row>
    <row r="58" spans="1:24">
      <c r="A58" s="25" t="s">
        <v>1246</v>
      </c>
      <c r="B58" s="25" t="s">
        <v>164</v>
      </c>
      <c r="C58" s="25" t="s">
        <v>165</v>
      </c>
      <c r="D58" s="25" t="s">
        <v>166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2804</f>
        <v>2804</v>
      </c>
      <c r="L58" s="32" t="s">
        <v>1116</v>
      </c>
      <c r="M58" s="31">
        <f>2923</f>
        <v>2923</v>
      </c>
      <c r="N58" s="32" t="s">
        <v>1111</v>
      </c>
      <c r="O58" s="31">
        <f>2787</f>
        <v>2787</v>
      </c>
      <c r="P58" s="32" t="s">
        <v>680</v>
      </c>
      <c r="Q58" s="31">
        <f>2903</f>
        <v>2903</v>
      </c>
      <c r="R58" s="32" t="s">
        <v>777</v>
      </c>
      <c r="S58" s="33">
        <f>2849.38</f>
        <v>2849.38</v>
      </c>
      <c r="T58" s="30">
        <f>1890</f>
        <v>1890</v>
      </c>
      <c r="U58" s="30">
        <f>4</f>
        <v>4</v>
      </c>
      <c r="V58" s="30">
        <f>5364881</f>
        <v>5364881</v>
      </c>
      <c r="W58" s="30">
        <f>11669</f>
        <v>11669</v>
      </c>
      <c r="X58" s="34">
        <f>21</f>
        <v>21</v>
      </c>
    </row>
    <row r="59" spans="1:24">
      <c r="A59" s="25" t="s">
        <v>1246</v>
      </c>
      <c r="B59" s="25" t="s">
        <v>167</v>
      </c>
      <c r="C59" s="25" t="s">
        <v>168</v>
      </c>
      <c r="D59" s="25" t="s">
        <v>169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1691</f>
        <v>1691</v>
      </c>
      <c r="L59" s="32" t="s">
        <v>1116</v>
      </c>
      <c r="M59" s="31">
        <f>1698</f>
        <v>1698</v>
      </c>
      <c r="N59" s="32" t="s">
        <v>876</v>
      </c>
      <c r="O59" s="31">
        <f>1635</f>
        <v>1635</v>
      </c>
      <c r="P59" s="32" t="s">
        <v>777</v>
      </c>
      <c r="Q59" s="31">
        <f>1639</f>
        <v>1639</v>
      </c>
      <c r="R59" s="32" t="s">
        <v>777</v>
      </c>
      <c r="S59" s="33">
        <f>1667.95</f>
        <v>1667.95</v>
      </c>
      <c r="T59" s="30">
        <f>18211131</f>
        <v>18211131</v>
      </c>
      <c r="U59" s="30">
        <f>14945533</f>
        <v>14945533</v>
      </c>
      <c r="V59" s="30">
        <f>30160592231</f>
        <v>30160592231</v>
      </c>
      <c r="W59" s="30">
        <f>24733245923</f>
        <v>24733245923</v>
      </c>
      <c r="X59" s="34">
        <f>21</f>
        <v>21</v>
      </c>
    </row>
    <row r="60" spans="1:24">
      <c r="A60" s="25" t="s">
        <v>1246</v>
      </c>
      <c r="B60" s="25" t="s">
        <v>170</v>
      </c>
      <c r="C60" s="25" t="s">
        <v>171</v>
      </c>
      <c r="D60" s="25" t="s">
        <v>172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2782</f>
        <v>2782</v>
      </c>
      <c r="L60" s="32" t="s">
        <v>1116</v>
      </c>
      <c r="M60" s="31">
        <f>2896</f>
        <v>2896</v>
      </c>
      <c r="N60" s="32" t="s">
        <v>1111</v>
      </c>
      <c r="O60" s="31">
        <f>2753</f>
        <v>2753</v>
      </c>
      <c r="P60" s="32" t="s">
        <v>680</v>
      </c>
      <c r="Q60" s="31">
        <f>2873</f>
        <v>2873</v>
      </c>
      <c r="R60" s="32" t="s">
        <v>777</v>
      </c>
      <c r="S60" s="33">
        <f>2816</f>
        <v>2816</v>
      </c>
      <c r="T60" s="30">
        <f>21692</f>
        <v>21692</v>
      </c>
      <c r="U60" s="30">
        <f>2</f>
        <v>2</v>
      </c>
      <c r="V60" s="30">
        <f>60962461</f>
        <v>60962461</v>
      </c>
      <c r="W60" s="30">
        <f>5746</f>
        <v>5746</v>
      </c>
      <c r="X60" s="34">
        <f>21</f>
        <v>21</v>
      </c>
    </row>
    <row r="61" spans="1:24">
      <c r="A61" s="25" t="s">
        <v>1246</v>
      </c>
      <c r="B61" s="25" t="s">
        <v>173</v>
      </c>
      <c r="C61" s="25" t="s">
        <v>174</v>
      </c>
      <c r="D61" s="25" t="s">
        <v>175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10</v>
      </c>
      <c r="K61" s="31">
        <f>2783.5</f>
        <v>2783.5</v>
      </c>
      <c r="L61" s="32" t="s">
        <v>1116</v>
      </c>
      <c r="M61" s="31">
        <f>2884.5</f>
        <v>2884.5</v>
      </c>
      <c r="N61" s="32" t="s">
        <v>1111</v>
      </c>
      <c r="O61" s="31">
        <f>2751</f>
        <v>2751</v>
      </c>
      <c r="P61" s="32" t="s">
        <v>680</v>
      </c>
      <c r="Q61" s="31">
        <f>2862.5</f>
        <v>2862.5</v>
      </c>
      <c r="R61" s="32" t="s">
        <v>777</v>
      </c>
      <c r="S61" s="33">
        <f>2806.31</f>
        <v>2806.31</v>
      </c>
      <c r="T61" s="30">
        <f>60480</f>
        <v>60480</v>
      </c>
      <c r="U61" s="30">
        <f>12000</f>
        <v>12000</v>
      </c>
      <c r="V61" s="30">
        <f>169907335</f>
        <v>169907335</v>
      </c>
      <c r="W61" s="30">
        <f>33723960</f>
        <v>33723960</v>
      </c>
      <c r="X61" s="34">
        <f>21</f>
        <v>21</v>
      </c>
    </row>
    <row r="62" spans="1:24">
      <c r="A62" s="25" t="s">
        <v>1246</v>
      </c>
      <c r="B62" s="25" t="s">
        <v>176</v>
      </c>
      <c r="C62" s="25" t="s">
        <v>177</v>
      </c>
      <c r="D62" s="25" t="s">
        <v>178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</v>
      </c>
      <c r="K62" s="31">
        <f>40800</f>
        <v>40800</v>
      </c>
      <c r="L62" s="32" t="s">
        <v>759</v>
      </c>
      <c r="M62" s="31">
        <f>40800</f>
        <v>40800</v>
      </c>
      <c r="N62" s="32" t="s">
        <v>759</v>
      </c>
      <c r="O62" s="31">
        <f>40720</f>
        <v>40720</v>
      </c>
      <c r="P62" s="32" t="s">
        <v>759</v>
      </c>
      <c r="Q62" s="31">
        <f>40720</f>
        <v>40720</v>
      </c>
      <c r="R62" s="32" t="s">
        <v>759</v>
      </c>
      <c r="S62" s="33">
        <f>40720</f>
        <v>40720</v>
      </c>
      <c r="T62" s="30">
        <f>7</f>
        <v>7</v>
      </c>
      <c r="U62" s="30">
        <f>1</f>
        <v>1</v>
      </c>
      <c r="V62" s="30">
        <f>285440</f>
        <v>285440</v>
      </c>
      <c r="W62" s="30">
        <f>40720</f>
        <v>40720</v>
      </c>
      <c r="X62" s="34">
        <f>1</f>
        <v>1</v>
      </c>
    </row>
    <row r="63" spans="1:24">
      <c r="A63" s="25" t="s">
        <v>1246</v>
      </c>
      <c r="B63" s="25" t="s">
        <v>179</v>
      </c>
      <c r="C63" s="25" t="s">
        <v>180</v>
      </c>
      <c r="D63" s="25" t="s">
        <v>181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23700</f>
        <v>23700</v>
      </c>
      <c r="L63" s="32" t="s">
        <v>1116</v>
      </c>
      <c r="M63" s="31">
        <f>24300</f>
        <v>24300</v>
      </c>
      <c r="N63" s="32" t="s">
        <v>777</v>
      </c>
      <c r="O63" s="31">
        <f>23495</f>
        <v>23495</v>
      </c>
      <c r="P63" s="32" t="s">
        <v>675</v>
      </c>
      <c r="Q63" s="31">
        <f>24270</f>
        <v>24270</v>
      </c>
      <c r="R63" s="32" t="s">
        <v>777</v>
      </c>
      <c r="S63" s="33">
        <f>23918.33</f>
        <v>23918.33</v>
      </c>
      <c r="T63" s="30">
        <f>83937</f>
        <v>83937</v>
      </c>
      <c r="U63" s="30">
        <f>49220</f>
        <v>49220</v>
      </c>
      <c r="V63" s="30">
        <f>2009763808</f>
        <v>2009763808</v>
      </c>
      <c r="W63" s="30">
        <f>1179271443</f>
        <v>1179271443</v>
      </c>
      <c r="X63" s="34">
        <f>21</f>
        <v>21</v>
      </c>
    </row>
    <row r="64" spans="1:24">
      <c r="A64" s="25" t="s">
        <v>1246</v>
      </c>
      <c r="B64" s="25" t="s">
        <v>182</v>
      </c>
      <c r="C64" s="25" t="s">
        <v>183</v>
      </c>
      <c r="D64" s="25" t="s">
        <v>184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13055</f>
        <v>13055</v>
      </c>
      <c r="L64" s="32" t="s">
        <v>1116</v>
      </c>
      <c r="M64" s="31">
        <f>13135</f>
        <v>13135</v>
      </c>
      <c r="N64" s="32" t="s">
        <v>876</v>
      </c>
      <c r="O64" s="31">
        <f>12665</f>
        <v>12665</v>
      </c>
      <c r="P64" s="32" t="s">
        <v>777</v>
      </c>
      <c r="Q64" s="31">
        <f>12700</f>
        <v>12700</v>
      </c>
      <c r="R64" s="32" t="s">
        <v>777</v>
      </c>
      <c r="S64" s="33">
        <f>12911.43</f>
        <v>12911.43</v>
      </c>
      <c r="T64" s="30">
        <f>1287727</f>
        <v>1287727</v>
      </c>
      <c r="U64" s="30">
        <f>1193316</f>
        <v>1193316</v>
      </c>
      <c r="V64" s="30">
        <f>16478046146</f>
        <v>16478046146</v>
      </c>
      <c r="W64" s="30">
        <f>15269824431</f>
        <v>15269824431</v>
      </c>
      <c r="X64" s="34">
        <f>21</f>
        <v>21</v>
      </c>
    </row>
    <row r="65" spans="1:24">
      <c r="A65" s="25" t="s">
        <v>1246</v>
      </c>
      <c r="B65" s="25" t="s">
        <v>185</v>
      </c>
      <c r="C65" s="25" t="s">
        <v>920</v>
      </c>
      <c r="D65" s="25" t="s">
        <v>921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1727</f>
        <v>1727</v>
      </c>
      <c r="L65" s="32" t="s">
        <v>1116</v>
      </c>
      <c r="M65" s="31">
        <f>1731</f>
        <v>1731</v>
      </c>
      <c r="N65" s="32" t="s">
        <v>777</v>
      </c>
      <c r="O65" s="31">
        <f>1661</f>
        <v>1661</v>
      </c>
      <c r="P65" s="32" t="s">
        <v>680</v>
      </c>
      <c r="Q65" s="31">
        <f>1715</f>
        <v>1715</v>
      </c>
      <c r="R65" s="32" t="s">
        <v>777</v>
      </c>
      <c r="S65" s="33">
        <f>1691.14</f>
        <v>1691.14</v>
      </c>
      <c r="T65" s="30">
        <f>3118047</f>
        <v>3118047</v>
      </c>
      <c r="U65" s="30">
        <f>1429132</f>
        <v>1429132</v>
      </c>
      <c r="V65" s="30">
        <f>5259203097</f>
        <v>5259203097</v>
      </c>
      <c r="W65" s="30">
        <f>2404767543</f>
        <v>2404767543</v>
      </c>
      <c r="X65" s="34">
        <f>21</f>
        <v>21</v>
      </c>
    </row>
    <row r="66" spans="1:24">
      <c r="A66" s="25" t="s">
        <v>1246</v>
      </c>
      <c r="B66" s="25" t="s">
        <v>186</v>
      </c>
      <c r="C66" s="25" t="s">
        <v>187</v>
      </c>
      <c r="D66" s="25" t="s">
        <v>188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2225</f>
        <v>2225</v>
      </c>
      <c r="L66" s="32" t="s">
        <v>1116</v>
      </c>
      <c r="M66" s="31">
        <f>2340</f>
        <v>2340</v>
      </c>
      <c r="N66" s="32" t="s">
        <v>777</v>
      </c>
      <c r="O66" s="31">
        <f>2211</f>
        <v>2211</v>
      </c>
      <c r="P66" s="32" t="s">
        <v>680</v>
      </c>
      <c r="Q66" s="31">
        <f>2323</f>
        <v>2323</v>
      </c>
      <c r="R66" s="32" t="s">
        <v>777</v>
      </c>
      <c r="S66" s="33">
        <f>2264.29</f>
        <v>2264.29</v>
      </c>
      <c r="T66" s="30">
        <f>9854707</f>
        <v>9854707</v>
      </c>
      <c r="U66" s="30">
        <f>600391</f>
        <v>600391</v>
      </c>
      <c r="V66" s="30">
        <f>22357607576</f>
        <v>22357607576</v>
      </c>
      <c r="W66" s="30">
        <f>1355109285</f>
        <v>1355109285</v>
      </c>
      <c r="X66" s="34">
        <f>21</f>
        <v>21</v>
      </c>
    </row>
    <row r="67" spans="1:24">
      <c r="A67" s="25" t="s">
        <v>1246</v>
      </c>
      <c r="B67" s="25" t="s">
        <v>189</v>
      </c>
      <c r="C67" s="25" t="s">
        <v>190</v>
      </c>
      <c r="D67" s="25" t="s">
        <v>191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10</v>
      </c>
      <c r="K67" s="31">
        <f>7490</f>
        <v>7490</v>
      </c>
      <c r="L67" s="32" t="s">
        <v>1123</v>
      </c>
      <c r="M67" s="31">
        <f>7490</f>
        <v>7490</v>
      </c>
      <c r="N67" s="32" t="s">
        <v>1123</v>
      </c>
      <c r="O67" s="31">
        <f>7474</f>
        <v>7474</v>
      </c>
      <c r="P67" s="32" t="s">
        <v>1123</v>
      </c>
      <c r="Q67" s="31">
        <f>7474</f>
        <v>7474</v>
      </c>
      <c r="R67" s="32" t="s">
        <v>1123</v>
      </c>
      <c r="S67" s="33">
        <f>7474</f>
        <v>7474</v>
      </c>
      <c r="T67" s="30">
        <f>1000</f>
        <v>1000</v>
      </c>
      <c r="U67" s="30" t="str">
        <f>"－"</f>
        <v>－</v>
      </c>
      <c r="V67" s="30">
        <f>7482000</f>
        <v>7482000</v>
      </c>
      <c r="W67" s="30" t="str">
        <f>"－"</f>
        <v>－</v>
      </c>
      <c r="X67" s="34">
        <f>1</f>
        <v>1</v>
      </c>
    </row>
    <row r="68" spans="1:24">
      <c r="A68" s="25" t="s">
        <v>1246</v>
      </c>
      <c r="B68" s="25" t="s">
        <v>195</v>
      </c>
      <c r="C68" s="25" t="s">
        <v>196</v>
      </c>
      <c r="D68" s="25" t="s">
        <v>197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</v>
      </c>
      <c r="K68" s="31">
        <f>19865</f>
        <v>19865</v>
      </c>
      <c r="L68" s="32" t="s">
        <v>1116</v>
      </c>
      <c r="M68" s="31">
        <f>20435</f>
        <v>20435</v>
      </c>
      <c r="N68" s="32" t="s">
        <v>777</v>
      </c>
      <c r="O68" s="31">
        <f>19650</f>
        <v>19650</v>
      </c>
      <c r="P68" s="32" t="s">
        <v>680</v>
      </c>
      <c r="Q68" s="31">
        <f>20300</f>
        <v>20300</v>
      </c>
      <c r="R68" s="32" t="s">
        <v>777</v>
      </c>
      <c r="S68" s="33">
        <f>20011.19</f>
        <v>20011.189999999999</v>
      </c>
      <c r="T68" s="30">
        <f>892</f>
        <v>892</v>
      </c>
      <c r="U68" s="30">
        <f>1</f>
        <v>1</v>
      </c>
      <c r="V68" s="30">
        <f>17857805</f>
        <v>17857805</v>
      </c>
      <c r="W68" s="30">
        <f>20255</f>
        <v>20255</v>
      </c>
      <c r="X68" s="34">
        <f>21</f>
        <v>21</v>
      </c>
    </row>
    <row r="69" spans="1:24">
      <c r="A69" s="25" t="s">
        <v>1246</v>
      </c>
      <c r="B69" s="25" t="s">
        <v>198</v>
      </c>
      <c r="C69" s="25" t="s">
        <v>199</v>
      </c>
      <c r="D69" s="25" t="s">
        <v>200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31100</f>
        <v>31100</v>
      </c>
      <c r="L69" s="32" t="s">
        <v>1116</v>
      </c>
      <c r="M69" s="31">
        <f>32060</f>
        <v>32060</v>
      </c>
      <c r="N69" s="32" t="s">
        <v>777</v>
      </c>
      <c r="O69" s="31">
        <f>30670</f>
        <v>30670</v>
      </c>
      <c r="P69" s="32" t="s">
        <v>680</v>
      </c>
      <c r="Q69" s="31">
        <f>32060</f>
        <v>32060</v>
      </c>
      <c r="R69" s="32" t="s">
        <v>777</v>
      </c>
      <c r="S69" s="33">
        <f>31143.81</f>
        <v>31143.81</v>
      </c>
      <c r="T69" s="30">
        <f>28614</f>
        <v>28614</v>
      </c>
      <c r="U69" s="30">
        <f>10634</f>
        <v>10634</v>
      </c>
      <c r="V69" s="30">
        <f>893081694</f>
        <v>893081694</v>
      </c>
      <c r="W69" s="30">
        <f>333227384</f>
        <v>333227384</v>
      </c>
      <c r="X69" s="34">
        <f>21</f>
        <v>21</v>
      </c>
    </row>
    <row r="70" spans="1:24">
      <c r="A70" s="25" t="s">
        <v>1246</v>
      </c>
      <c r="B70" s="25" t="s">
        <v>201</v>
      </c>
      <c r="C70" s="25" t="s">
        <v>202</v>
      </c>
      <c r="D70" s="25" t="s">
        <v>203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10</v>
      </c>
      <c r="K70" s="31">
        <f>10170</f>
        <v>10170</v>
      </c>
      <c r="L70" s="32" t="s">
        <v>1116</v>
      </c>
      <c r="M70" s="31">
        <f>10480</f>
        <v>10480</v>
      </c>
      <c r="N70" s="32" t="s">
        <v>777</v>
      </c>
      <c r="O70" s="31">
        <f>9999</f>
        <v>9999</v>
      </c>
      <c r="P70" s="32" t="s">
        <v>674</v>
      </c>
      <c r="Q70" s="31">
        <f>10400</f>
        <v>10400</v>
      </c>
      <c r="R70" s="32" t="s">
        <v>777</v>
      </c>
      <c r="S70" s="33">
        <f>10130.48</f>
        <v>10130.48</v>
      </c>
      <c r="T70" s="30">
        <f>14840</f>
        <v>14840</v>
      </c>
      <c r="U70" s="30">
        <f>220</f>
        <v>220</v>
      </c>
      <c r="V70" s="30">
        <f>150443490</f>
        <v>150443490</v>
      </c>
      <c r="W70" s="30">
        <f>2236900</f>
        <v>2236900</v>
      </c>
      <c r="X70" s="34">
        <f>21</f>
        <v>21</v>
      </c>
    </row>
    <row r="71" spans="1:24">
      <c r="A71" s="25" t="s">
        <v>1246</v>
      </c>
      <c r="B71" s="25" t="s">
        <v>204</v>
      </c>
      <c r="C71" s="25" t="s">
        <v>205</v>
      </c>
      <c r="D71" s="25" t="s">
        <v>206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1821</f>
        <v>1821</v>
      </c>
      <c r="L71" s="32" t="s">
        <v>1116</v>
      </c>
      <c r="M71" s="31">
        <f>1834</f>
        <v>1834</v>
      </c>
      <c r="N71" s="32" t="s">
        <v>876</v>
      </c>
      <c r="O71" s="31">
        <f>1759</f>
        <v>1759</v>
      </c>
      <c r="P71" s="32" t="s">
        <v>676</v>
      </c>
      <c r="Q71" s="31">
        <f>1767</f>
        <v>1767</v>
      </c>
      <c r="R71" s="32" t="s">
        <v>777</v>
      </c>
      <c r="S71" s="33">
        <f>1798.33</f>
        <v>1798.33</v>
      </c>
      <c r="T71" s="30">
        <f>4598896</f>
        <v>4598896</v>
      </c>
      <c r="U71" s="30">
        <f>3802466</f>
        <v>3802466</v>
      </c>
      <c r="V71" s="30">
        <f>8131852432</f>
        <v>8131852432</v>
      </c>
      <c r="W71" s="30">
        <f>6712179402</f>
        <v>6712179402</v>
      </c>
      <c r="X71" s="34">
        <f>21</f>
        <v>21</v>
      </c>
    </row>
    <row r="72" spans="1:24">
      <c r="A72" s="25" t="s">
        <v>1246</v>
      </c>
      <c r="B72" s="25" t="s">
        <v>207</v>
      </c>
      <c r="C72" s="25" t="s">
        <v>208</v>
      </c>
      <c r="D72" s="25" t="s">
        <v>209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1863</f>
        <v>1863</v>
      </c>
      <c r="L72" s="32" t="s">
        <v>1116</v>
      </c>
      <c r="M72" s="31">
        <f>1877</f>
        <v>1877</v>
      </c>
      <c r="N72" s="32" t="s">
        <v>876</v>
      </c>
      <c r="O72" s="31">
        <f>1810</f>
        <v>1810</v>
      </c>
      <c r="P72" s="32" t="s">
        <v>680</v>
      </c>
      <c r="Q72" s="31">
        <f>1846</f>
        <v>1846</v>
      </c>
      <c r="R72" s="32" t="s">
        <v>777</v>
      </c>
      <c r="S72" s="33">
        <f>1859</f>
        <v>1859</v>
      </c>
      <c r="T72" s="30">
        <f>921293</f>
        <v>921293</v>
      </c>
      <c r="U72" s="30">
        <f>6907</f>
        <v>6907</v>
      </c>
      <c r="V72" s="30">
        <f>1703624106</f>
        <v>1703624106</v>
      </c>
      <c r="W72" s="30">
        <f>12889715</f>
        <v>12889715</v>
      </c>
      <c r="X72" s="34">
        <f>21</f>
        <v>21</v>
      </c>
    </row>
    <row r="73" spans="1:24">
      <c r="A73" s="25" t="s">
        <v>1246</v>
      </c>
      <c r="B73" s="25" t="s">
        <v>210</v>
      </c>
      <c r="C73" s="25" t="s">
        <v>211</v>
      </c>
      <c r="D73" s="25" t="s">
        <v>212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21705</f>
        <v>21705</v>
      </c>
      <c r="L73" s="32" t="s">
        <v>1116</v>
      </c>
      <c r="M73" s="31">
        <f>22650</f>
        <v>22650</v>
      </c>
      <c r="N73" s="32" t="s">
        <v>777</v>
      </c>
      <c r="O73" s="31">
        <f>21455</f>
        <v>21455</v>
      </c>
      <c r="P73" s="32" t="s">
        <v>680</v>
      </c>
      <c r="Q73" s="31">
        <f>22435</f>
        <v>22435</v>
      </c>
      <c r="R73" s="32" t="s">
        <v>777</v>
      </c>
      <c r="S73" s="33">
        <f>22007.14</f>
        <v>22007.14</v>
      </c>
      <c r="T73" s="30">
        <f>20737</f>
        <v>20737</v>
      </c>
      <c r="U73" s="30">
        <f>10002</f>
        <v>10002</v>
      </c>
      <c r="V73" s="30">
        <f>455248470</f>
        <v>455248470</v>
      </c>
      <c r="W73" s="30">
        <f>217874570</f>
        <v>217874570</v>
      </c>
      <c r="X73" s="34">
        <f>21</f>
        <v>21</v>
      </c>
    </row>
    <row r="74" spans="1:24">
      <c r="A74" s="25" t="s">
        <v>1246</v>
      </c>
      <c r="B74" s="25" t="s">
        <v>213</v>
      </c>
      <c r="C74" s="25" t="s">
        <v>214</v>
      </c>
      <c r="D74" s="25" t="s">
        <v>215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9265</f>
        <v>9265</v>
      </c>
      <c r="L74" s="32" t="s">
        <v>1116</v>
      </c>
      <c r="M74" s="31">
        <f>9307</f>
        <v>9307</v>
      </c>
      <c r="N74" s="32" t="s">
        <v>676</v>
      </c>
      <c r="O74" s="31">
        <f>9118</f>
        <v>9118</v>
      </c>
      <c r="P74" s="32" t="s">
        <v>1123</v>
      </c>
      <c r="Q74" s="31">
        <f>9200</f>
        <v>9200</v>
      </c>
      <c r="R74" s="32" t="s">
        <v>777</v>
      </c>
      <c r="S74" s="33">
        <f>9193</f>
        <v>9193</v>
      </c>
      <c r="T74" s="30">
        <f>5310</f>
        <v>5310</v>
      </c>
      <c r="U74" s="30">
        <f>915</f>
        <v>915</v>
      </c>
      <c r="V74" s="30">
        <f>48835184</f>
        <v>48835184</v>
      </c>
      <c r="W74" s="30">
        <f>8401684</f>
        <v>8401684</v>
      </c>
      <c r="X74" s="34">
        <f>21</f>
        <v>21</v>
      </c>
    </row>
    <row r="75" spans="1:24">
      <c r="A75" s="25" t="s">
        <v>1246</v>
      </c>
      <c r="B75" s="25" t="s">
        <v>216</v>
      </c>
      <c r="C75" s="25" t="s">
        <v>217</v>
      </c>
      <c r="D75" s="25" t="s">
        <v>218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11975</f>
        <v>11975</v>
      </c>
      <c r="L75" s="32" t="s">
        <v>1116</v>
      </c>
      <c r="M75" s="31">
        <f>12570</f>
        <v>12570</v>
      </c>
      <c r="N75" s="32" t="s">
        <v>1111</v>
      </c>
      <c r="O75" s="31">
        <f>11885</f>
        <v>11885</v>
      </c>
      <c r="P75" s="32" t="s">
        <v>1124</v>
      </c>
      <c r="Q75" s="31">
        <f>12495</f>
        <v>12495</v>
      </c>
      <c r="R75" s="32" t="s">
        <v>777</v>
      </c>
      <c r="S75" s="33">
        <f>12275.24</f>
        <v>12275.24</v>
      </c>
      <c r="T75" s="30">
        <f>3768129</f>
        <v>3768129</v>
      </c>
      <c r="U75" s="30">
        <f>276277</f>
        <v>276277</v>
      </c>
      <c r="V75" s="30">
        <f>46210423176</f>
        <v>46210423176</v>
      </c>
      <c r="W75" s="30">
        <f>3446556271</f>
        <v>3446556271</v>
      </c>
      <c r="X75" s="34">
        <f>21</f>
        <v>21</v>
      </c>
    </row>
    <row r="76" spans="1:24">
      <c r="A76" s="25" t="s">
        <v>1246</v>
      </c>
      <c r="B76" s="25" t="s">
        <v>219</v>
      </c>
      <c r="C76" s="25" t="s">
        <v>220</v>
      </c>
      <c r="D76" s="25" t="s">
        <v>221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4230</f>
        <v>4230</v>
      </c>
      <c r="L76" s="32" t="s">
        <v>1116</v>
      </c>
      <c r="M76" s="31">
        <f>4370</f>
        <v>4370</v>
      </c>
      <c r="N76" s="32" t="s">
        <v>683</v>
      </c>
      <c r="O76" s="31">
        <f>4135</f>
        <v>4135</v>
      </c>
      <c r="P76" s="32" t="s">
        <v>876</v>
      </c>
      <c r="Q76" s="31">
        <f>4265</f>
        <v>4265</v>
      </c>
      <c r="R76" s="32" t="s">
        <v>777</v>
      </c>
      <c r="S76" s="33">
        <f>4253.1</f>
        <v>4253.1000000000004</v>
      </c>
      <c r="T76" s="30">
        <f>414586</f>
        <v>414586</v>
      </c>
      <c r="U76" s="30">
        <f>205</f>
        <v>205</v>
      </c>
      <c r="V76" s="30">
        <f>1766086075</f>
        <v>1766086075</v>
      </c>
      <c r="W76" s="30">
        <f>862970</f>
        <v>862970</v>
      </c>
      <c r="X76" s="34">
        <f>21</f>
        <v>21</v>
      </c>
    </row>
    <row r="77" spans="1:24">
      <c r="A77" s="25" t="s">
        <v>1246</v>
      </c>
      <c r="B77" s="25" t="s">
        <v>222</v>
      </c>
      <c r="C77" s="25" t="s">
        <v>223</v>
      </c>
      <c r="D77" s="25" t="s">
        <v>224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13610</f>
        <v>13610</v>
      </c>
      <c r="L77" s="32" t="s">
        <v>1116</v>
      </c>
      <c r="M77" s="31">
        <f>14615</f>
        <v>14615</v>
      </c>
      <c r="N77" s="32" t="s">
        <v>677</v>
      </c>
      <c r="O77" s="31">
        <f>13405</f>
        <v>13405</v>
      </c>
      <c r="P77" s="32" t="s">
        <v>1116</v>
      </c>
      <c r="Q77" s="31">
        <f>13820</f>
        <v>13820</v>
      </c>
      <c r="R77" s="32" t="s">
        <v>777</v>
      </c>
      <c r="S77" s="33">
        <f>13890</f>
        <v>13890</v>
      </c>
      <c r="T77" s="30">
        <f>316574</f>
        <v>316574</v>
      </c>
      <c r="U77" s="30">
        <f>189</f>
        <v>189</v>
      </c>
      <c r="V77" s="30">
        <f>4399797035</f>
        <v>4399797035</v>
      </c>
      <c r="W77" s="30">
        <f>2617395</f>
        <v>2617395</v>
      </c>
      <c r="X77" s="34">
        <f>21</f>
        <v>21</v>
      </c>
    </row>
    <row r="78" spans="1:24">
      <c r="A78" s="25" t="s">
        <v>1246</v>
      </c>
      <c r="B78" s="25" t="s">
        <v>225</v>
      </c>
      <c r="C78" s="25" t="s">
        <v>226</v>
      </c>
      <c r="D78" s="25" t="s">
        <v>227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43940</f>
        <v>43940</v>
      </c>
      <c r="L78" s="32" t="s">
        <v>1116</v>
      </c>
      <c r="M78" s="31">
        <f>44340</f>
        <v>44340</v>
      </c>
      <c r="N78" s="32" t="s">
        <v>677</v>
      </c>
      <c r="O78" s="31">
        <f>41200</f>
        <v>41200</v>
      </c>
      <c r="P78" s="32" t="s">
        <v>680</v>
      </c>
      <c r="Q78" s="31">
        <f>42100</f>
        <v>42100</v>
      </c>
      <c r="R78" s="32" t="s">
        <v>777</v>
      </c>
      <c r="S78" s="33">
        <f>42833.33</f>
        <v>42833.33</v>
      </c>
      <c r="T78" s="30">
        <f>20798</f>
        <v>20798</v>
      </c>
      <c r="U78" s="30">
        <f>74</f>
        <v>74</v>
      </c>
      <c r="V78" s="30">
        <f>893595000</f>
        <v>893595000</v>
      </c>
      <c r="W78" s="30">
        <f>3199840</f>
        <v>3199840</v>
      </c>
      <c r="X78" s="34">
        <f>21</f>
        <v>21</v>
      </c>
    </row>
    <row r="79" spans="1:24">
      <c r="A79" s="25" t="s">
        <v>1246</v>
      </c>
      <c r="B79" s="25" t="s">
        <v>228</v>
      </c>
      <c r="C79" s="25" t="s">
        <v>779</v>
      </c>
      <c r="D79" s="25" t="s">
        <v>780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31670</f>
        <v>31670</v>
      </c>
      <c r="L79" s="32" t="s">
        <v>1116</v>
      </c>
      <c r="M79" s="31">
        <f>34760</f>
        <v>34760</v>
      </c>
      <c r="N79" s="32" t="s">
        <v>1111</v>
      </c>
      <c r="O79" s="31">
        <f>31660</f>
        <v>31660</v>
      </c>
      <c r="P79" s="32" t="s">
        <v>1116</v>
      </c>
      <c r="Q79" s="31">
        <f>34280</f>
        <v>34280</v>
      </c>
      <c r="R79" s="32" t="s">
        <v>777</v>
      </c>
      <c r="S79" s="33">
        <f>33415.24</f>
        <v>33415.24</v>
      </c>
      <c r="T79" s="30">
        <f>1007171</f>
        <v>1007171</v>
      </c>
      <c r="U79" s="30">
        <f>3345</f>
        <v>3345</v>
      </c>
      <c r="V79" s="30">
        <f>33996416510</f>
        <v>33996416510</v>
      </c>
      <c r="W79" s="30">
        <f>109590500</f>
        <v>109590500</v>
      </c>
      <c r="X79" s="34">
        <f>21</f>
        <v>21</v>
      </c>
    </row>
    <row r="80" spans="1:24">
      <c r="A80" s="25" t="s">
        <v>1246</v>
      </c>
      <c r="B80" s="25" t="s">
        <v>229</v>
      </c>
      <c r="C80" s="25" t="s">
        <v>781</v>
      </c>
      <c r="D80" s="25" t="s">
        <v>782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65580</f>
        <v>65580</v>
      </c>
      <c r="L80" s="32" t="s">
        <v>1116</v>
      </c>
      <c r="M80" s="31">
        <f>66710</f>
        <v>66710</v>
      </c>
      <c r="N80" s="32" t="s">
        <v>1111</v>
      </c>
      <c r="O80" s="31">
        <f>63860</f>
        <v>63860</v>
      </c>
      <c r="P80" s="32" t="s">
        <v>680</v>
      </c>
      <c r="Q80" s="31">
        <f>66120</f>
        <v>66120</v>
      </c>
      <c r="R80" s="32" t="s">
        <v>777</v>
      </c>
      <c r="S80" s="33">
        <f>65606.19</f>
        <v>65606.19</v>
      </c>
      <c r="T80" s="30">
        <f>92341</f>
        <v>92341</v>
      </c>
      <c r="U80" s="30">
        <f>7353</f>
        <v>7353</v>
      </c>
      <c r="V80" s="30">
        <f>6037824220</f>
        <v>6037824220</v>
      </c>
      <c r="W80" s="30">
        <f>474141690</f>
        <v>474141690</v>
      </c>
      <c r="X80" s="34">
        <f>21</f>
        <v>21</v>
      </c>
    </row>
    <row r="81" spans="1:24">
      <c r="A81" s="25" t="s">
        <v>1246</v>
      </c>
      <c r="B81" s="25" t="s">
        <v>230</v>
      </c>
      <c r="C81" s="25" t="s">
        <v>231</v>
      </c>
      <c r="D81" s="25" t="s">
        <v>232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10</v>
      </c>
      <c r="K81" s="31">
        <f>9880</f>
        <v>9880</v>
      </c>
      <c r="L81" s="32" t="s">
        <v>1116</v>
      </c>
      <c r="M81" s="31">
        <f>10430</f>
        <v>10430</v>
      </c>
      <c r="N81" s="32" t="s">
        <v>1111</v>
      </c>
      <c r="O81" s="31">
        <f>9877</f>
        <v>9877</v>
      </c>
      <c r="P81" s="32" t="s">
        <v>1116</v>
      </c>
      <c r="Q81" s="31">
        <f>10315</f>
        <v>10315</v>
      </c>
      <c r="R81" s="32" t="s">
        <v>777</v>
      </c>
      <c r="S81" s="33">
        <f>10120.38</f>
        <v>10120.379999999999</v>
      </c>
      <c r="T81" s="30">
        <f>1730410</f>
        <v>1730410</v>
      </c>
      <c r="U81" s="30">
        <f>831010</f>
        <v>831010</v>
      </c>
      <c r="V81" s="30">
        <f>17581982122</f>
        <v>17581982122</v>
      </c>
      <c r="W81" s="30">
        <f>8457089512</f>
        <v>8457089512</v>
      </c>
      <c r="X81" s="34">
        <f>21</f>
        <v>21</v>
      </c>
    </row>
    <row r="82" spans="1:24">
      <c r="A82" s="25" t="s">
        <v>1246</v>
      </c>
      <c r="B82" s="25" t="s">
        <v>233</v>
      </c>
      <c r="C82" s="25" t="s">
        <v>234</v>
      </c>
      <c r="D82" s="25" t="s">
        <v>235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5971</f>
        <v>5971</v>
      </c>
      <c r="L82" s="32" t="s">
        <v>1116</v>
      </c>
      <c r="M82" s="31">
        <f>6214</f>
        <v>6214</v>
      </c>
      <c r="N82" s="32" t="s">
        <v>1111</v>
      </c>
      <c r="O82" s="31">
        <f>5956</f>
        <v>5956</v>
      </c>
      <c r="P82" s="32" t="s">
        <v>680</v>
      </c>
      <c r="Q82" s="31">
        <f>6158</f>
        <v>6158</v>
      </c>
      <c r="R82" s="32" t="s">
        <v>777</v>
      </c>
      <c r="S82" s="33">
        <f>6063.76</f>
        <v>6063.76</v>
      </c>
      <c r="T82" s="30">
        <f>236480</f>
        <v>236480</v>
      </c>
      <c r="U82" s="30">
        <f>340</f>
        <v>340</v>
      </c>
      <c r="V82" s="30">
        <f>1431866690</f>
        <v>1431866690</v>
      </c>
      <c r="W82" s="30">
        <f>2035970</f>
        <v>2035970</v>
      </c>
      <c r="X82" s="34">
        <f>21</f>
        <v>21</v>
      </c>
    </row>
    <row r="83" spans="1:24">
      <c r="A83" s="25" t="s">
        <v>1246</v>
      </c>
      <c r="B83" s="25" t="s">
        <v>236</v>
      </c>
      <c r="C83" s="25" t="s">
        <v>854</v>
      </c>
      <c r="D83" s="25" t="s">
        <v>855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5007</f>
        <v>5007</v>
      </c>
      <c r="L83" s="32" t="s">
        <v>1116</v>
      </c>
      <c r="M83" s="31">
        <f>5399</f>
        <v>5399</v>
      </c>
      <c r="N83" s="32" t="s">
        <v>1111</v>
      </c>
      <c r="O83" s="31">
        <f>5006</f>
        <v>5006</v>
      </c>
      <c r="P83" s="32" t="s">
        <v>1116</v>
      </c>
      <c r="Q83" s="31">
        <f>5261</f>
        <v>5261</v>
      </c>
      <c r="R83" s="32" t="s">
        <v>777</v>
      </c>
      <c r="S83" s="33">
        <f>5213.62</f>
        <v>5213.62</v>
      </c>
      <c r="T83" s="30">
        <f>5640</f>
        <v>5640</v>
      </c>
      <c r="U83" s="30">
        <f>490</f>
        <v>490</v>
      </c>
      <c r="V83" s="30">
        <f>29543880</f>
        <v>29543880</v>
      </c>
      <c r="W83" s="30">
        <f>2587600</f>
        <v>2587600</v>
      </c>
      <c r="X83" s="34">
        <f>21</f>
        <v>21</v>
      </c>
    </row>
    <row r="84" spans="1:24">
      <c r="A84" s="25" t="s">
        <v>1246</v>
      </c>
      <c r="B84" s="25" t="s">
        <v>241</v>
      </c>
      <c r="C84" s="25" t="s">
        <v>242</v>
      </c>
      <c r="D84" s="25" t="s">
        <v>243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4903</f>
        <v>4903</v>
      </c>
      <c r="L84" s="32" t="s">
        <v>1116</v>
      </c>
      <c r="M84" s="31">
        <f>5161</f>
        <v>5161</v>
      </c>
      <c r="N84" s="32" t="s">
        <v>1111</v>
      </c>
      <c r="O84" s="31">
        <f>4899</f>
        <v>4899</v>
      </c>
      <c r="P84" s="32" t="s">
        <v>1116</v>
      </c>
      <c r="Q84" s="31">
        <f>5105</f>
        <v>5105</v>
      </c>
      <c r="R84" s="32" t="s">
        <v>777</v>
      </c>
      <c r="S84" s="33">
        <f>5023.81</f>
        <v>5023.8100000000004</v>
      </c>
      <c r="T84" s="30">
        <f>172270</f>
        <v>172270</v>
      </c>
      <c r="U84" s="30">
        <f>20</f>
        <v>20</v>
      </c>
      <c r="V84" s="30">
        <f>865171860</f>
        <v>865171860</v>
      </c>
      <c r="W84" s="30">
        <f>100080</f>
        <v>100080</v>
      </c>
      <c r="X84" s="34">
        <f>21</f>
        <v>21</v>
      </c>
    </row>
    <row r="85" spans="1:24">
      <c r="A85" s="25" t="s">
        <v>1246</v>
      </c>
      <c r="B85" s="25" t="s">
        <v>244</v>
      </c>
      <c r="C85" s="25" t="s">
        <v>971</v>
      </c>
      <c r="D85" s="25" t="s">
        <v>245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2384</f>
        <v>2384</v>
      </c>
      <c r="L85" s="32" t="s">
        <v>1116</v>
      </c>
      <c r="M85" s="31">
        <f>2390</f>
        <v>2390</v>
      </c>
      <c r="N85" s="32" t="s">
        <v>1116</v>
      </c>
      <c r="O85" s="31">
        <f>2170.5</f>
        <v>2170.5</v>
      </c>
      <c r="P85" s="32" t="s">
        <v>680</v>
      </c>
      <c r="Q85" s="31">
        <f>2291</f>
        <v>2291</v>
      </c>
      <c r="R85" s="32" t="s">
        <v>777</v>
      </c>
      <c r="S85" s="33">
        <f>2293.93</f>
        <v>2293.9299999999998</v>
      </c>
      <c r="T85" s="30">
        <f>70760</f>
        <v>70760</v>
      </c>
      <c r="U85" s="30">
        <f>150</f>
        <v>150</v>
      </c>
      <c r="V85" s="30">
        <f>161434450</f>
        <v>161434450</v>
      </c>
      <c r="W85" s="30">
        <f>354470</f>
        <v>354470</v>
      </c>
      <c r="X85" s="34">
        <f>21</f>
        <v>21</v>
      </c>
    </row>
    <row r="86" spans="1:24">
      <c r="A86" s="25" t="s">
        <v>1246</v>
      </c>
      <c r="B86" s="25" t="s">
        <v>246</v>
      </c>
      <c r="C86" s="25" t="s">
        <v>247</v>
      </c>
      <c r="D86" s="25" t="s">
        <v>248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</v>
      </c>
      <c r="K86" s="31">
        <f>90190</f>
        <v>90190</v>
      </c>
      <c r="L86" s="32" t="s">
        <v>1116</v>
      </c>
      <c r="M86" s="31">
        <f>95070</f>
        <v>95070</v>
      </c>
      <c r="N86" s="32" t="s">
        <v>1111</v>
      </c>
      <c r="O86" s="31">
        <f>90190</f>
        <v>90190</v>
      </c>
      <c r="P86" s="32" t="s">
        <v>1116</v>
      </c>
      <c r="Q86" s="31">
        <f>93980</f>
        <v>93980</v>
      </c>
      <c r="R86" s="32" t="s">
        <v>777</v>
      </c>
      <c r="S86" s="33">
        <f>92361.9</f>
        <v>92361.9</v>
      </c>
      <c r="T86" s="30">
        <f>92720</f>
        <v>92720</v>
      </c>
      <c r="U86" s="30">
        <f>304</f>
        <v>304</v>
      </c>
      <c r="V86" s="30">
        <f>8570692471</f>
        <v>8570692471</v>
      </c>
      <c r="W86" s="30">
        <f>28473851</f>
        <v>28473851</v>
      </c>
      <c r="X86" s="34">
        <f>21</f>
        <v>21</v>
      </c>
    </row>
    <row r="87" spans="1:24">
      <c r="A87" s="25" t="s">
        <v>1246</v>
      </c>
      <c r="B87" s="25" t="s">
        <v>249</v>
      </c>
      <c r="C87" s="25" t="s">
        <v>250</v>
      </c>
      <c r="D87" s="25" t="s">
        <v>251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3615</f>
        <v>3615</v>
      </c>
      <c r="L87" s="32" t="s">
        <v>1116</v>
      </c>
      <c r="M87" s="31">
        <f>3735</f>
        <v>3735</v>
      </c>
      <c r="N87" s="32" t="s">
        <v>1123</v>
      </c>
      <c r="O87" s="31">
        <f>3435</f>
        <v>3435</v>
      </c>
      <c r="P87" s="32" t="s">
        <v>680</v>
      </c>
      <c r="Q87" s="31">
        <f>3715</f>
        <v>3715</v>
      </c>
      <c r="R87" s="32" t="s">
        <v>777</v>
      </c>
      <c r="S87" s="33">
        <f>3648.81</f>
        <v>3648.81</v>
      </c>
      <c r="T87" s="30">
        <f>31916</f>
        <v>31916</v>
      </c>
      <c r="U87" s="30" t="str">
        <f>"－"</f>
        <v>－</v>
      </c>
      <c r="V87" s="30">
        <f>115476765</f>
        <v>115476765</v>
      </c>
      <c r="W87" s="30" t="str">
        <f>"－"</f>
        <v>－</v>
      </c>
      <c r="X87" s="34">
        <f>21</f>
        <v>21</v>
      </c>
    </row>
    <row r="88" spans="1:24">
      <c r="A88" s="25" t="s">
        <v>1246</v>
      </c>
      <c r="B88" s="25" t="s">
        <v>252</v>
      </c>
      <c r="C88" s="25" t="s">
        <v>253</v>
      </c>
      <c r="D88" s="25" t="s">
        <v>254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5220</f>
        <v>5220</v>
      </c>
      <c r="L88" s="32" t="s">
        <v>1116</v>
      </c>
      <c r="M88" s="31">
        <f>5360</f>
        <v>5360</v>
      </c>
      <c r="N88" s="32" t="s">
        <v>777</v>
      </c>
      <c r="O88" s="31">
        <f>5020</f>
        <v>5020</v>
      </c>
      <c r="P88" s="32" t="s">
        <v>680</v>
      </c>
      <c r="Q88" s="31">
        <f>5340</f>
        <v>5340</v>
      </c>
      <c r="R88" s="32" t="s">
        <v>777</v>
      </c>
      <c r="S88" s="33">
        <f>5234.29</f>
        <v>5234.29</v>
      </c>
      <c r="T88" s="30">
        <f>18580</f>
        <v>18580</v>
      </c>
      <c r="U88" s="30" t="str">
        <f>"－"</f>
        <v>－</v>
      </c>
      <c r="V88" s="30">
        <f>97228220</f>
        <v>97228220</v>
      </c>
      <c r="W88" s="30" t="str">
        <f>"－"</f>
        <v>－</v>
      </c>
      <c r="X88" s="34">
        <f>21</f>
        <v>21</v>
      </c>
    </row>
    <row r="89" spans="1:24">
      <c r="A89" s="25" t="s">
        <v>1246</v>
      </c>
      <c r="B89" s="25" t="s">
        <v>255</v>
      </c>
      <c r="C89" s="25" t="s">
        <v>856</v>
      </c>
      <c r="D89" s="25" t="s">
        <v>857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2380</f>
        <v>2380</v>
      </c>
      <c r="L89" s="32" t="s">
        <v>1116</v>
      </c>
      <c r="M89" s="31">
        <f>2527</f>
        <v>2527</v>
      </c>
      <c r="N89" s="32" t="s">
        <v>1111</v>
      </c>
      <c r="O89" s="31">
        <f>2373</f>
        <v>2373</v>
      </c>
      <c r="P89" s="32" t="s">
        <v>1116</v>
      </c>
      <c r="Q89" s="31">
        <f>2476</f>
        <v>2476</v>
      </c>
      <c r="R89" s="32" t="s">
        <v>777</v>
      </c>
      <c r="S89" s="33">
        <f>2438.86</f>
        <v>2438.86</v>
      </c>
      <c r="T89" s="30">
        <f>890274</f>
        <v>890274</v>
      </c>
      <c r="U89" s="30">
        <f>123675</f>
        <v>123675</v>
      </c>
      <c r="V89" s="30">
        <f>2181615210</f>
        <v>2181615210</v>
      </c>
      <c r="W89" s="30">
        <f>308919486</f>
        <v>308919486</v>
      </c>
      <c r="X89" s="34">
        <f>21</f>
        <v>21</v>
      </c>
    </row>
    <row r="90" spans="1:24">
      <c r="A90" s="25" t="s">
        <v>1246</v>
      </c>
      <c r="B90" s="25" t="s">
        <v>256</v>
      </c>
      <c r="C90" s="25" t="s">
        <v>257</v>
      </c>
      <c r="D90" s="25" t="s">
        <v>258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48040</f>
        <v>48040</v>
      </c>
      <c r="L90" s="32" t="s">
        <v>1116</v>
      </c>
      <c r="M90" s="31">
        <f>49960</f>
        <v>49960</v>
      </c>
      <c r="N90" s="32" t="s">
        <v>777</v>
      </c>
      <c r="O90" s="31">
        <f>47600</f>
        <v>47600</v>
      </c>
      <c r="P90" s="32" t="s">
        <v>675</v>
      </c>
      <c r="Q90" s="31">
        <f>49900</f>
        <v>49900</v>
      </c>
      <c r="R90" s="32" t="s">
        <v>777</v>
      </c>
      <c r="S90" s="33">
        <f>48776.67</f>
        <v>48776.67</v>
      </c>
      <c r="T90" s="30">
        <f>17875</f>
        <v>17875</v>
      </c>
      <c r="U90" s="30">
        <f>117</f>
        <v>117</v>
      </c>
      <c r="V90" s="30">
        <f>873761981</f>
        <v>873761981</v>
      </c>
      <c r="W90" s="30">
        <f>5684041</f>
        <v>5684041</v>
      </c>
      <c r="X90" s="34">
        <f>21</f>
        <v>21</v>
      </c>
    </row>
    <row r="91" spans="1:24">
      <c r="A91" s="25" t="s">
        <v>1246</v>
      </c>
      <c r="B91" s="25" t="s">
        <v>259</v>
      </c>
      <c r="C91" s="25" t="s">
        <v>260</v>
      </c>
      <c r="D91" s="25" t="s">
        <v>261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10</v>
      </c>
      <c r="K91" s="31">
        <f>450.3</f>
        <v>450.3</v>
      </c>
      <c r="L91" s="32" t="s">
        <v>1116</v>
      </c>
      <c r="M91" s="31">
        <f>494</f>
        <v>494</v>
      </c>
      <c r="N91" s="32" t="s">
        <v>777</v>
      </c>
      <c r="O91" s="31">
        <f>447.5</f>
        <v>447.5</v>
      </c>
      <c r="P91" s="32" t="s">
        <v>680</v>
      </c>
      <c r="Q91" s="31">
        <f>484</f>
        <v>484</v>
      </c>
      <c r="R91" s="32" t="s">
        <v>777</v>
      </c>
      <c r="S91" s="33">
        <f>468.18</f>
        <v>468.18</v>
      </c>
      <c r="T91" s="30">
        <f>107738350</f>
        <v>107738350</v>
      </c>
      <c r="U91" s="30">
        <f>4050</f>
        <v>4050</v>
      </c>
      <c r="V91" s="30">
        <f>50678813932</f>
        <v>50678813932</v>
      </c>
      <c r="W91" s="30">
        <f>1924799</f>
        <v>1924799</v>
      </c>
      <c r="X91" s="34">
        <f>21</f>
        <v>21</v>
      </c>
    </row>
    <row r="92" spans="1:24">
      <c r="A92" s="25" t="s">
        <v>1246</v>
      </c>
      <c r="B92" s="25" t="s">
        <v>262</v>
      </c>
      <c r="C92" s="25" t="s">
        <v>263</v>
      </c>
      <c r="D92" s="25" t="s">
        <v>264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1260</f>
        <v>1260</v>
      </c>
      <c r="L92" s="32" t="s">
        <v>1116</v>
      </c>
      <c r="M92" s="31">
        <f>1264</f>
        <v>1264</v>
      </c>
      <c r="N92" s="32" t="s">
        <v>680</v>
      </c>
      <c r="O92" s="31">
        <f>1200</f>
        <v>1200</v>
      </c>
      <c r="P92" s="32" t="s">
        <v>777</v>
      </c>
      <c r="Q92" s="31">
        <f>1211</f>
        <v>1211</v>
      </c>
      <c r="R92" s="32" t="s">
        <v>777</v>
      </c>
      <c r="S92" s="33">
        <f>1233.26</f>
        <v>1233.26</v>
      </c>
      <c r="T92" s="30">
        <f>930440</f>
        <v>930440</v>
      </c>
      <c r="U92" s="30">
        <f>2370</f>
        <v>2370</v>
      </c>
      <c r="V92" s="30">
        <f>1142204775</f>
        <v>1142204775</v>
      </c>
      <c r="W92" s="30">
        <f>2907250</f>
        <v>2907250</v>
      </c>
      <c r="X92" s="34">
        <f>21</f>
        <v>21</v>
      </c>
    </row>
    <row r="93" spans="1:24">
      <c r="A93" s="25" t="s">
        <v>1246</v>
      </c>
      <c r="B93" s="25" t="s">
        <v>265</v>
      </c>
      <c r="C93" s="25" t="s">
        <v>266</v>
      </c>
      <c r="D93" s="25" t="s">
        <v>267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</v>
      </c>
      <c r="K93" s="31">
        <f>25815</f>
        <v>25815</v>
      </c>
      <c r="L93" s="32" t="s">
        <v>1116</v>
      </c>
      <c r="M93" s="31">
        <f>28895</f>
        <v>28895</v>
      </c>
      <c r="N93" s="32" t="s">
        <v>1111</v>
      </c>
      <c r="O93" s="31">
        <f>25515</f>
        <v>25515</v>
      </c>
      <c r="P93" s="32" t="s">
        <v>1116</v>
      </c>
      <c r="Q93" s="31">
        <f>28175</f>
        <v>28175</v>
      </c>
      <c r="R93" s="32" t="s">
        <v>777</v>
      </c>
      <c r="S93" s="33">
        <f>27329.76</f>
        <v>27329.759999999998</v>
      </c>
      <c r="T93" s="30">
        <f>92671467</f>
        <v>92671467</v>
      </c>
      <c r="U93" s="30">
        <f>272001</f>
        <v>272001</v>
      </c>
      <c r="V93" s="30">
        <f>2535618207580</f>
        <v>2535618207580</v>
      </c>
      <c r="W93" s="30">
        <f>7452007030</f>
        <v>7452007030</v>
      </c>
      <c r="X93" s="34">
        <f>21</f>
        <v>21</v>
      </c>
    </row>
    <row r="94" spans="1:24">
      <c r="A94" s="25" t="s">
        <v>1246</v>
      </c>
      <c r="B94" s="25" t="s">
        <v>268</v>
      </c>
      <c r="C94" s="25" t="s">
        <v>269</v>
      </c>
      <c r="D94" s="25" t="s">
        <v>270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595</f>
        <v>595</v>
      </c>
      <c r="L94" s="32" t="s">
        <v>1116</v>
      </c>
      <c r="M94" s="31">
        <f>598</f>
        <v>598</v>
      </c>
      <c r="N94" s="32" t="s">
        <v>1116</v>
      </c>
      <c r="O94" s="31">
        <f>560</f>
        <v>560</v>
      </c>
      <c r="P94" s="32" t="s">
        <v>1111</v>
      </c>
      <c r="Q94" s="31">
        <f>567</f>
        <v>567</v>
      </c>
      <c r="R94" s="32" t="s">
        <v>777</v>
      </c>
      <c r="S94" s="33">
        <f>576.71</f>
        <v>576.71</v>
      </c>
      <c r="T94" s="30">
        <f>20715274</f>
        <v>20715274</v>
      </c>
      <c r="U94" s="30">
        <f>1741362</f>
        <v>1741362</v>
      </c>
      <c r="V94" s="30">
        <f>11872570420</f>
        <v>11872570420</v>
      </c>
      <c r="W94" s="30">
        <f>1004545530</f>
        <v>1004545530</v>
      </c>
      <c r="X94" s="34">
        <f>21</f>
        <v>21</v>
      </c>
    </row>
    <row r="95" spans="1:24">
      <c r="A95" s="25" t="s">
        <v>1246</v>
      </c>
      <c r="B95" s="25" t="s">
        <v>271</v>
      </c>
      <c r="C95" s="25" t="s">
        <v>272</v>
      </c>
      <c r="D95" s="25" t="s">
        <v>273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10</v>
      </c>
      <c r="K95" s="31">
        <f>4980</f>
        <v>4980</v>
      </c>
      <c r="L95" s="32" t="s">
        <v>1116</v>
      </c>
      <c r="M95" s="31">
        <f>5985</f>
        <v>5985</v>
      </c>
      <c r="N95" s="32" t="s">
        <v>759</v>
      </c>
      <c r="O95" s="31">
        <f>4900</f>
        <v>4900</v>
      </c>
      <c r="P95" s="32" t="s">
        <v>1116</v>
      </c>
      <c r="Q95" s="31">
        <f>5654</f>
        <v>5654</v>
      </c>
      <c r="R95" s="32" t="s">
        <v>777</v>
      </c>
      <c r="S95" s="33">
        <f>5382.81</f>
        <v>5382.81</v>
      </c>
      <c r="T95" s="30">
        <f>547600</f>
        <v>547600</v>
      </c>
      <c r="U95" s="30" t="str">
        <f>"－"</f>
        <v>－</v>
      </c>
      <c r="V95" s="30">
        <f>3012777070</f>
        <v>3012777070</v>
      </c>
      <c r="W95" s="30" t="str">
        <f>"－"</f>
        <v>－</v>
      </c>
      <c r="X95" s="34">
        <f>21</f>
        <v>21</v>
      </c>
    </row>
    <row r="96" spans="1:24">
      <c r="A96" s="25" t="s">
        <v>1246</v>
      </c>
      <c r="B96" s="25" t="s">
        <v>274</v>
      </c>
      <c r="C96" s="25" t="s">
        <v>275</v>
      </c>
      <c r="D96" s="25" t="s">
        <v>276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10235</f>
        <v>10235</v>
      </c>
      <c r="L96" s="32" t="s">
        <v>1116</v>
      </c>
      <c r="M96" s="31">
        <f>10615</f>
        <v>10615</v>
      </c>
      <c r="N96" s="32" t="s">
        <v>1118</v>
      </c>
      <c r="O96" s="31">
        <f>9440</f>
        <v>9440</v>
      </c>
      <c r="P96" s="32" t="s">
        <v>759</v>
      </c>
      <c r="Q96" s="31">
        <f>10330</f>
        <v>10330</v>
      </c>
      <c r="R96" s="32" t="s">
        <v>777</v>
      </c>
      <c r="S96" s="33">
        <f>10189.62</f>
        <v>10189.620000000001</v>
      </c>
      <c r="T96" s="30">
        <f>68670</f>
        <v>68670</v>
      </c>
      <c r="U96" s="30">
        <f>250</f>
        <v>250</v>
      </c>
      <c r="V96" s="30">
        <f>691077770</f>
        <v>691077770</v>
      </c>
      <c r="W96" s="30">
        <f>2592500</f>
        <v>2592500</v>
      </c>
      <c r="X96" s="34">
        <f>21</f>
        <v>21</v>
      </c>
    </row>
    <row r="97" spans="1:24">
      <c r="A97" s="25" t="s">
        <v>1246</v>
      </c>
      <c r="B97" s="25" t="s">
        <v>277</v>
      </c>
      <c r="C97" s="25" t="s">
        <v>278</v>
      </c>
      <c r="D97" s="25" t="s">
        <v>972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</v>
      </c>
      <c r="K97" s="31">
        <f>37190</f>
        <v>37190</v>
      </c>
      <c r="L97" s="32" t="s">
        <v>1116</v>
      </c>
      <c r="M97" s="31">
        <f>39100</f>
        <v>39100</v>
      </c>
      <c r="N97" s="32" t="s">
        <v>777</v>
      </c>
      <c r="O97" s="31">
        <f>36970</f>
        <v>36970</v>
      </c>
      <c r="P97" s="32" t="s">
        <v>680</v>
      </c>
      <c r="Q97" s="31">
        <f>38810</f>
        <v>38810</v>
      </c>
      <c r="R97" s="32" t="s">
        <v>777</v>
      </c>
      <c r="S97" s="33">
        <f>37826.67</f>
        <v>37826.67</v>
      </c>
      <c r="T97" s="30">
        <f>142358</f>
        <v>142358</v>
      </c>
      <c r="U97" s="30">
        <f>36799</f>
        <v>36799</v>
      </c>
      <c r="V97" s="30">
        <f>5383468798</f>
        <v>5383468798</v>
      </c>
      <c r="W97" s="30">
        <f>1394813088</f>
        <v>1394813088</v>
      </c>
      <c r="X97" s="34">
        <f>21</f>
        <v>21</v>
      </c>
    </row>
    <row r="98" spans="1:24">
      <c r="A98" s="25" t="s">
        <v>1246</v>
      </c>
      <c r="B98" s="25" t="s">
        <v>279</v>
      </c>
      <c r="C98" s="25" t="s">
        <v>280</v>
      </c>
      <c r="D98" s="25" t="s">
        <v>281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3060</f>
        <v>3060</v>
      </c>
      <c r="L98" s="32" t="s">
        <v>1116</v>
      </c>
      <c r="M98" s="31">
        <f>3245</f>
        <v>3245</v>
      </c>
      <c r="N98" s="32" t="s">
        <v>1111</v>
      </c>
      <c r="O98" s="31">
        <f>3045</f>
        <v>3045</v>
      </c>
      <c r="P98" s="32" t="s">
        <v>1116</v>
      </c>
      <c r="Q98" s="31">
        <f>3230</f>
        <v>3230</v>
      </c>
      <c r="R98" s="32" t="s">
        <v>777</v>
      </c>
      <c r="S98" s="33">
        <f>3155.48</f>
        <v>3155.48</v>
      </c>
      <c r="T98" s="30">
        <f>99541</f>
        <v>99541</v>
      </c>
      <c r="U98" s="30">
        <f>21</f>
        <v>21</v>
      </c>
      <c r="V98" s="30">
        <f>316371195</f>
        <v>316371195</v>
      </c>
      <c r="W98" s="30">
        <f>65730</f>
        <v>65730</v>
      </c>
      <c r="X98" s="34">
        <f>21</f>
        <v>21</v>
      </c>
    </row>
    <row r="99" spans="1:24">
      <c r="A99" s="25" t="s">
        <v>1246</v>
      </c>
      <c r="B99" s="25" t="s">
        <v>282</v>
      </c>
      <c r="C99" s="25" t="s">
        <v>283</v>
      </c>
      <c r="D99" s="25" t="s">
        <v>284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10</v>
      </c>
      <c r="K99" s="31">
        <f>277.4</f>
        <v>277.39999999999998</v>
      </c>
      <c r="L99" s="32" t="s">
        <v>1116</v>
      </c>
      <c r="M99" s="31">
        <f>310.8</f>
        <v>310.8</v>
      </c>
      <c r="N99" s="32" t="s">
        <v>1111</v>
      </c>
      <c r="O99" s="31">
        <f>274</f>
        <v>274</v>
      </c>
      <c r="P99" s="32" t="s">
        <v>1116</v>
      </c>
      <c r="Q99" s="31">
        <f>302.9</f>
        <v>302.89999999999998</v>
      </c>
      <c r="R99" s="32" t="s">
        <v>777</v>
      </c>
      <c r="S99" s="33">
        <f>293.56</f>
        <v>293.56</v>
      </c>
      <c r="T99" s="30">
        <f>707903080</f>
        <v>707903080</v>
      </c>
      <c r="U99" s="30">
        <f>10037720</f>
        <v>10037720</v>
      </c>
      <c r="V99" s="30">
        <f>207282693815</f>
        <v>207282693815</v>
      </c>
      <c r="W99" s="30">
        <f>2961633005</f>
        <v>2961633005</v>
      </c>
      <c r="X99" s="34">
        <f>21</f>
        <v>21</v>
      </c>
    </row>
    <row r="100" spans="1:24">
      <c r="A100" s="25" t="s">
        <v>1246</v>
      </c>
      <c r="B100" s="25" t="s">
        <v>285</v>
      </c>
      <c r="C100" s="25" t="s">
        <v>286</v>
      </c>
      <c r="D100" s="25" t="s">
        <v>287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1578.5</f>
        <v>1578.5</v>
      </c>
      <c r="L100" s="32" t="s">
        <v>1116</v>
      </c>
      <c r="M100" s="31">
        <f>1586.5</f>
        <v>1586.5</v>
      </c>
      <c r="N100" s="32" t="s">
        <v>1116</v>
      </c>
      <c r="O100" s="31">
        <f>1486</f>
        <v>1486</v>
      </c>
      <c r="P100" s="32" t="s">
        <v>1111</v>
      </c>
      <c r="Q100" s="31">
        <f>1503</f>
        <v>1503</v>
      </c>
      <c r="R100" s="32" t="s">
        <v>777</v>
      </c>
      <c r="S100" s="33">
        <f>1530.93</f>
        <v>1530.93</v>
      </c>
      <c r="T100" s="30">
        <f>5447870</f>
        <v>5447870</v>
      </c>
      <c r="U100" s="30">
        <f>968000</f>
        <v>968000</v>
      </c>
      <c r="V100" s="30">
        <f>8337419330</f>
        <v>8337419330</v>
      </c>
      <c r="W100" s="30">
        <f>1472837880</f>
        <v>1472837880</v>
      </c>
      <c r="X100" s="34">
        <f>21</f>
        <v>21</v>
      </c>
    </row>
    <row r="101" spans="1:24">
      <c r="A101" s="25" t="s">
        <v>1246</v>
      </c>
      <c r="B101" s="25" t="s">
        <v>288</v>
      </c>
      <c r="C101" s="25" t="s">
        <v>922</v>
      </c>
      <c r="D101" s="25" t="s">
        <v>923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1828</f>
        <v>1828</v>
      </c>
      <c r="L101" s="32" t="s">
        <v>1116</v>
      </c>
      <c r="M101" s="31">
        <f>1919.5</f>
        <v>1919.5</v>
      </c>
      <c r="N101" s="32" t="s">
        <v>1111</v>
      </c>
      <c r="O101" s="31">
        <f>1825.5</f>
        <v>1825.5</v>
      </c>
      <c r="P101" s="32" t="s">
        <v>683</v>
      </c>
      <c r="Q101" s="31">
        <f>1883.5</f>
        <v>1883.5</v>
      </c>
      <c r="R101" s="32" t="s">
        <v>777</v>
      </c>
      <c r="S101" s="33">
        <f>1865.1</f>
        <v>1865.1</v>
      </c>
      <c r="T101" s="30">
        <f>22600</f>
        <v>22600</v>
      </c>
      <c r="U101" s="30">
        <f>20</f>
        <v>20</v>
      </c>
      <c r="V101" s="30">
        <f>42184465</f>
        <v>42184465</v>
      </c>
      <c r="W101" s="30">
        <f>37285</f>
        <v>37285</v>
      </c>
      <c r="X101" s="34">
        <f>21</f>
        <v>21</v>
      </c>
    </row>
    <row r="102" spans="1:24">
      <c r="A102" s="25" t="s">
        <v>1246</v>
      </c>
      <c r="B102" s="25" t="s">
        <v>289</v>
      </c>
      <c r="C102" s="25" t="s">
        <v>290</v>
      </c>
      <c r="D102" s="25" t="s">
        <v>291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</v>
      </c>
      <c r="K102" s="31">
        <f>2154</f>
        <v>2154</v>
      </c>
      <c r="L102" s="32" t="s">
        <v>1116</v>
      </c>
      <c r="M102" s="31">
        <f>2244</f>
        <v>2244</v>
      </c>
      <c r="N102" s="32" t="s">
        <v>777</v>
      </c>
      <c r="O102" s="31">
        <f>2129</f>
        <v>2129</v>
      </c>
      <c r="P102" s="32" t="s">
        <v>1116</v>
      </c>
      <c r="Q102" s="31">
        <f>2219</f>
        <v>2219</v>
      </c>
      <c r="R102" s="32" t="s">
        <v>777</v>
      </c>
      <c r="S102" s="33">
        <f>2177.14</f>
        <v>2177.14</v>
      </c>
      <c r="T102" s="30">
        <f>1876</f>
        <v>1876</v>
      </c>
      <c r="U102" s="30">
        <f>2</f>
        <v>2</v>
      </c>
      <c r="V102" s="30">
        <f>4111961</f>
        <v>4111961</v>
      </c>
      <c r="W102" s="30">
        <f>4476</f>
        <v>4476</v>
      </c>
      <c r="X102" s="34">
        <f>21</f>
        <v>21</v>
      </c>
    </row>
    <row r="103" spans="1:24">
      <c r="A103" s="25" t="s">
        <v>1246</v>
      </c>
      <c r="B103" s="25" t="s">
        <v>292</v>
      </c>
      <c r="C103" s="25" t="s">
        <v>293</v>
      </c>
      <c r="D103" s="25" t="s">
        <v>294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24520</f>
        <v>24520</v>
      </c>
      <c r="L103" s="32" t="s">
        <v>1116</v>
      </c>
      <c r="M103" s="31">
        <f>25550</f>
        <v>25550</v>
      </c>
      <c r="N103" s="32" t="s">
        <v>777</v>
      </c>
      <c r="O103" s="31">
        <f>24345</f>
        <v>24345</v>
      </c>
      <c r="P103" s="32" t="s">
        <v>680</v>
      </c>
      <c r="Q103" s="31">
        <f>25360</f>
        <v>25360</v>
      </c>
      <c r="R103" s="32" t="s">
        <v>777</v>
      </c>
      <c r="S103" s="33">
        <f>24933.1</f>
        <v>24933.1</v>
      </c>
      <c r="T103" s="30">
        <f>157135</f>
        <v>157135</v>
      </c>
      <c r="U103" s="30">
        <f>97721</f>
        <v>97721</v>
      </c>
      <c r="V103" s="30">
        <f>3901691628</f>
        <v>3901691628</v>
      </c>
      <c r="W103" s="30">
        <f>2415480188</f>
        <v>2415480188</v>
      </c>
      <c r="X103" s="34">
        <f>21</f>
        <v>21</v>
      </c>
    </row>
    <row r="104" spans="1:24">
      <c r="A104" s="25" t="s">
        <v>1246</v>
      </c>
      <c r="B104" s="25" t="s">
        <v>295</v>
      </c>
      <c r="C104" s="25" t="s">
        <v>296</v>
      </c>
      <c r="D104" s="25" t="s">
        <v>297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2262</f>
        <v>2262</v>
      </c>
      <c r="L104" s="32" t="s">
        <v>1116</v>
      </c>
      <c r="M104" s="31">
        <f>2381</f>
        <v>2381</v>
      </c>
      <c r="N104" s="32" t="s">
        <v>1111</v>
      </c>
      <c r="O104" s="31">
        <f>2244</f>
        <v>2244</v>
      </c>
      <c r="P104" s="32" t="s">
        <v>680</v>
      </c>
      <c r="Q104" s="31">
        <f>2340</f>
        <v>2340</v>
      </c>
      <c r="R104" s="32" t="s">
        <v>777</v>
      </c>
      <c r="S104" s="33">
        <f>2300.29</f>
        <v>2300.29</v>
      </c>
      <c r="T104" s="30">
        <f>101217</f>
        <v>101217</v>
      </c>
      <c r="U104" s="30">
        <f>9203</f>
        <v>9203</v>
      </c>
      <c r="V104" s="30">
        <f>234698449</f>
        <v>234698449</v>
      </c>
      <c r="W104" s="30">
        <f>21500552</f>
        <v>21500552</v>
      </c>
      <c r="X104" s="34">
        <f>21</f>
        <v>21</v>
      </c>
    </row>
    <row r="105" spans="1:24">
      <c r="A105" s="25" t="s">
        <v>1246</v>
      </c>
      <c r="B105" s="25" t="s">
        <v>298</v>
      </c>
      <c r="C105" s="25" t="s">
        <v>299</v>
      </c>
      <c r="D105" s="25" t="s">
        <v>300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25310</f>
        <v>25310</v>
      </c>
      <c r="L105" s="32" t="s">
        <v>1116</v>
      </c>
      <c r="M105" s="31">
        <f>26395</f>
        <v>26395</v>
      </c>
      <c r="N105" s="32" t="s">
        <v>777</v>
      </c>
      <c r="O105" s="31">
        <f>25010</f>
        <v>25010</v>
      </c>
      <c r="P105" s="32" t="s">
        <v>680</v>
      </c>
      <c r="Q105" s="31">
        <f>26300</f>
        <v>26300</v>
      </c>
      <c r="R105" s="32" t="s">
        <v>777</v>
      </c>
      <c r="S105" s="33">
        <f>25800.24</f>
        <v>25800.240000000002</v>
      </c>
      <c r="T105" s="30">
        <f>26678</f>
        <v>26678</v>
      </c>
      <c r="U105" s="30">
        <f>5504</f>
        <v>5504</v>
      </c>
      <c r="V105" s="30">
        <f>689682624</f>
        <v>689682624</v>
      </c>
      <c r="W105" s="30">
        <f>139972159</f>
        <v>139972159</v>
      </c>
      <c r="X105" s="34">
        <f>21</f>
        <v>21</v>
      </c>
    </row>
    <row r="106" spans="1:24">
      <c r="A106" s="25" t="s">
        <v>1246</v>
      </c>
      <c r="B106" s="25" t="s">
        <v>301</v>
      </c>
      <c r="C106" s="25" t="s">
        <v>302</v>
      </c>
      <c r="D106" s="25" t="s">
        <v>303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10</v>
      </c>
      <c r="K106" s="31">
        <f>1701.5</f>
        <v>1701.5</v>
      </c>
      <c r="L106" s="32" t="s">
        <v>1116</v>
      </c>
      <c r="M106" s="31">
        <f>1718.5</f>
        <v>1718.5</v>
      </c>
      <c r="N106" s="32" t="s">
        <v>777</v>
      </c>
      <c r="O106" s="31">
        <f>1650</f>
        <v>1650</v>
      </c>
      <c r="P106" s="32" t="s">
        <v>680</v>
      </c>
      <c r="Q106" s="31">
        <f>1706</f>
        <v>1706</v>
      </c>
      <c r="R106" s="32" t="s">
        <v>777</v>
      </c>
      <c r="S106" s="33">
        <f>1678.83</f>
        <v>1678.83</v>
      </c>
      <c r="T106" s="30">
        <f>3181240</f>
        <v>3181240</v>
      </c>
      <c r="U106" s="30">
        <f>1302620</f>
        <v>1302620</v>
      </c>
      <c r="V106" s="30">
        <f>5328435003</f>
        <v>5328435003</v>
      </c>
      <c r="W106" s="30">
        <f>2158403093</f>
        <v>2158403093</v>
      </c>
      <c r="X106" s="34">
        <f>21</f>
        <v>21</v>
      </c>
    </row>
    <row r="107" spans="1:24">
      <c r="A107" s="25" t="s">
        <v>1246</v>
      </c>
      <c r="B107" s="25" t="s">
        <v>304</v>
      </c>
      <c r="C107" s="25" t="s">
        <v>305</v>
      </c>
      <c r="D107" s="25" t="s">
        <v>306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2161</f>
        <v>2161</v>
      </c>
      <c r="L107" s="32" t="s">
        <v>1118</v>
      </c>
      <c r="M107" s="31">
        <f>2260</f>
        <v>2260</v>
      </c>
      <c r="N107" s="32" t="s">
        <v>676</v>
      </c>
      <c r="O107" s="31">
        <f>2161</f>
        <v>2161</v>
      </c>
      <c r="P107" s="32" t="s">
        <v>1118</v>
      </c>
      <c r="Q107" s="31">
        <f>2260</f>
        <v>2260</v>
      </c>
      <c r="R107" s="32" t="s">
        <v>676</v>
      </c>
      <c r="S107" s="33">
        <f>2217.75</f>
        <v>2217.75</v>
      </c>
      <c r="T107" s="30">
        <f>4120</f>
        <v>4120</v>
      </c>
      <c r="U107" s="30" t="str">
        <f>"－"</f>
        <v>－</v>
      </c>
      <c r="V107" s="30">
        <f>9166875</f>
        <v>9166875</v>
      </c>
      <c r="W107" s="30" t="str">
        <f>"－"</f>
        <v>－</v>
      </c>
      <c r="X107" s="34">
        <f>4</f>
        <v>4</v>
      </c>
    </row>
    <row r="108" spans="1:24">
      <c r="A108" s="25" t="s">
        <v>1246</v>
      </c>
      <c r="B108" s="25" t="s">
        <v>307</v>
      </c>
      <c r="C108" s="25" t="s">
        <v>308</v>
      </c>
      <c r="D108" s="25" t="s">
        <v>309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1719</f>
        <v>1719</v>
      </c>
      <c r="L108" s="32" t="s">
        <v>1116</v>
      </c>
      <c r="M108" s="31">
        <f>1724</f>
        <v>1724</v>
      </c>
      <c r="N108" s="32" t="s">
        <v>777</v>
      </c>
      <c r="O108" s="31">
        <f>1651</f>
        <v>1651</v>
      </c>
      <c r="P108" s="32" t="s">
        <v>680</v>
      </c>
      <c r="Q108" s="31">
        <f>1712</f>
        <v>1712</v>
      </c>
      <c r="R108" s="32" t="s">
        <v>777</v>
      </c>
      <c r="S108" s="33">
        <f>1686.29</f>
        <v>1686.29</v>
      </c>
      <c r="T108" s="30">
        <f>6854980</f>
        <v>6854980</v>
      </c>
      <c r="U108" s="30">
        <f>3242170</f>
        <v>3242170</v>
      </c>
      <c r="V108" s="30">
        <f>11514212184</f>
        <v>11514212184</v>
      </c>
      <c r="W108" s="30">
        <f>5423682879</f>
        <v>5423682879</v>
      </c>
      <c r="X108" s="34">
        <f>21</f>
        <v>21</v>
      </c>
    </row>
    <row r="109" spans="1:24">
      <c r="A109" s="25" t="s">
        <v>1246</v>
      </c>
      <c r="B109" s="25" t="s">
        <v>310</v>
      </c>
      <c r="C109" s="25" t="s">
        <v>924</v>
      </c>
      <c r="D109" s="25" t="s">
        <v>925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</v>
      </c>
      <c r="K109" s="31">
        <f>25270</f>
        <v>25270</v>
      </c>
      <c r="L109" s="32" t="s">
        <v>1116</v>
      </c>
      <c r="M109" s="31">
        <f>26055</f>
        <v>26055</v>
      </c>
      <c r="N109" s="32" t="s">
        <v>777</v>
      </c>
      <c r="O109" s="31">
        <f>24915</f>
        <v>24915</v>
      </c>
      <c r="P109" s="32" t="s">
        <v>680</v>
      </c>
      <c r="Q109" s="31">
        <f>26055</f>
        <v>26055</v>
      </c>
      <c r="R109" s="32" t="s">
        <v>777</v>
      </c>
      <c r="S109" s="33">
        <f>25555</f>
        <v>25555</v>
      </c>
      <c r="T109" s="30">
        <f>2728</f>
        <v>2728</v>
      </c>
      <c r="U109" s="30">
        <f>4</f>
        <v>4</v>
      </c>
      <c r="V109" s="30">
        <f>69632890</f>
        <v>69632890</v>
      </c>
      <c r="W109" s="30">
        <f>104015</f>
        <v>104015</v>
      </c>
      <c r="X109" s="34">
        <f>16</f>
        <v>16</v>
      </c>
    </row>
    <row r="110" spans="1:24">
      <c r="A110" s="25" t="s">
        <v>1246</v>
      </c>
      <c r="B110" s="25" t="s">
        <v>1143</v>
      </c>
      <c r="C110" s="25" t="s">
        <v>1142</v>
      </c>
      <c r="D110" s="25" t="s">
        <v>1141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512.5</f>
        <v>512.5</v>
      </c>
      <c r="L110" s="32" t="s">
        <v>1116</v>
      </c>
      <c r="M110" s="31">
        <f>537.3</f>
        <v>537.29999999999995</v>
      </c>
      <c r="N110" s="32" t="s">
        <v>1111</v>
      </c>
      <c r="O110" s="31">
        <f>510.8</f>
        <v>510.8</v>
      </c>
      <c r="P110" s="32" t="s">
        <v>1116</v>
      </c>
      <c r="Q110" s="31">
        <f>531.3</f>
        <v>531.29999999999995</v>
      </c>
      <c r="R110" s="32" t="s">
        <v>777</v>
      </c>
      <c r="S110" s="33">
        <f>523.65</f>
        <v>523.65</v>
      </c>
      <c r="T110" s="30">
        <f>1620030</f>
        <v>1620030</v>
      </c>
      <c r="U110" s="30">
        <f>700470</f>
        <v>700470</v>
      </c>
      <c r="V110" s="30">
        <f>849296697</f>
        <v>849296697</v>
      </c>
      <c r="W110" s="30">
        <f>366595762</f>
        <v>366595762</v>
      </c>
      <c r="X110" s="34">
        <f>21</f>
        <v>21</v>
      </c>
    </row>
    <row r="111" spans="1:24">
      <c r="A111" s="25" t="s">
        <v>1246</v>
      </c>
      <c r="B111" s="25" t="s">
        <v>311</v>
      </c>
      <c r="C111" s="25" t="s">
        <v>312</v>
      </c>
      <c r="D111" s="25" t="s">
        <v>313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100</v>
      </c>
      <c r="K111" s="31">
        <f>378.1</f>
        <v>378.1</v>
      </c>
      <c r="L111" s="32" t="s">
        <v>1116</v>
      </c>
      <c r="M111" s="31">
        <f>391.4</f>
        <v>391.4</v>
      </c>
      <c r="N111" s="32" t="s">
        <v>675</v>
      </c>
      <c r="O111" s="31">
        <f>369.4</f>
        <v>369.4</v>
      </c>
      <c r="P111" s="32" t="s">
        <v>778</v>
      </c>
      <c r="Q111" s="31">
        <f>382</f>
        <v>382</v>
      </c>
      <c r="R111" s="32" t="s">
        <v>777</v>
      </c>
      <c r="S111" s="33">
        <f>380.62</f>
        <v>380.62</v>
      </c>
      <c r="T111" s="30">
        <f>71160000</f>
        <v>71160000</v>
      </c>
      <c r="U111" s="30">
        <f>23846900</f>
        <v>23846900</v>
      </c>
      <c r="V111" s="30">
        <f>27236893725</f>
        <v>27236893725</v>
      </c>
      <c r="W111" s="30">
        <f>9203556305</f>
        <v>9203556305</v>
      </c>
      <c r="X111" s="34">
        <f>21</f>
        <v>21</v>
      </c>
    </row>
    <row r="112" spans="1:24">
      <c r="A112" s="25" t="s">
        <v>1246</v>
      </c>
      <c r="B112" s="25" t="s">
        <v>314</v>
      </c>
      <c r="C112" s="25" t="s">
        <v>315</v>
      </c>
      <c r="D112" s="25" t="s">
        <v>316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</v>
      </c>
      <c r="K112" s="31">
        <f>37710</f>
        <v>37710</v>
      </c>
      <c r="L112" s="32" t="s">
        <v>1116</v>
      </c>
      <c r="M112" s="31">
        <f>38720</f>
        <v>38720</v>
      </c>
      <c r="N112" s="32" t="s">
        <v>760</v>
      </c>
      <c r="O112" s="31">
        <f>37220</f>
        <v>37220</v>
      </c>
      <c r="P112" s="32" t="s">
        <v>679</v>
      </c>
      <c r="Q112" s="31">
        <f>37930</f>
        <v>37930</v>
      </c>
      <c r="R112" s="32" t="s">
        <v>777</v>
      </c>
      <c r="S112" s="33">
        <f>37918.1</f>
        <v>37918.1</v>
      </c>
      <c r="T112" s="30">
        <f>2179</f>
        <v>2179</v>
      </c>
      <c r="U112" s="30">
        <f>29</f>
        <v>29</v>
      </c>
      <c r="V112" s="30">
        <f>82787540</f>
        <v>82787540</v>
      </c>
      <c r="W112" s="30">
        <f>1099520</f>
        <v>1099520</v>
      </c>
      <c r="X112" s="34">
        <f>21</f>
        <v>21</v>
      </c>
    </row>
    <row r="113" spans="1:24">
      <c r="A113" s="25" t="s">
        <v>1246</v>
      </c>
      <c r="B113" s="25" t="s">
        <v>317</v>
      </c>
      <c r="C113" s="25" t="s">
        <v>318</v>
      </c>
      <c r="D113" s="25" t="s">
        <v>319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21125</f>
        <v>21125</v>
      </c>
      <c r="L113" s="32" t="s">
        <v>1116</v>
      </c>
      <c r="M113" s="31">
        <f>21900</f>
        <v>21900</v>
      </c>
      <c r="N113" s="32" t="s">
        <v>777</v>
      </c>
      <c r="O113" s="31">
        <f>20380</f>
        <v>20380</v>
      </c>
      <c r="P113" s="32" t="s">
        <v>680</v>
      </c>
      <c r="Q113" s="31">
        <f>21660</f>
        <v>21660</v>
      </c>
      <c r="R113" s="32" t="s">
        <v>777</v>
      </c>
      <c r="S113" s="33">
        <f>21200</f>
        <v>21200</v>
      </c>
      <c r="T113" s="30">
        <f>11074</f>
        <v>11074</v>
      </c>
      <c r="U113" s="30">
        <f>2</f>
        <v>2</v>
      </c>
      <c r="V113" s="30">
        <f>230439880</f>
        <v>230439880</v>
      </c>
      <c r="W113" s="30">
        <f>43320</f>
        <v>43320</v>
      </c>
      <c r="X113" s="34">
        <f>21</f>
        <v>21</v>
      </c>
    </row>
    <row r="114" spans="1:24">
      <c r="A114" s="25" t="s">
        <v>1246</v>
      </c>
      <c r="B114" s="25" t="s">
        <v>320</v>
      </c>
      <c r="C114" s="25" t="s">
        <v>321</v>
      </c>
      <c r="D114" s="25" t="s">
        <v>322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30740</f>
        <v>30740</v>
      </c>
      <c r="L114" s="32" t="s">
        <v>1116</v>
      </c>
      <c r="M114" s="31">
        <f>31630</f>
        <v>31630</v>
      </c>
      <c r="N114" s="32" t="s">
        <v>777</v>
      </c>
      <c r="O114" s="31">
        <f>30170</f>
        <v>30170</v>
      </c>
      <c r="P114" s="32" t="s">
        <v>680</v>
      </c>
      <c r="Q114" s="31">
        <f>31420</f>
        <v>31420</v>
      </c>
      <c r="R114" s="32" t="s">
        <v>777</v>
      </c>
      <c r="S114" s="33">
        <f>30951.9</f>
        <v>30951.9</v>
      </c>
      <c r="T114" s="30">
        <f>3879</f>
        <v>3879</v>
      </c>
      <c r="U114" s="30">
        <f>2</f>
        <v>2</v>
      </c>
      <c r="V114" s="30">
        <f>119447070</f>
        <v>119447070</v>
      </c>
      <c r="W114" s="30">
        <f>62420</f>
        <v>62420</v>
      </c>
      <c r="X114" s="34">
        <f>21</f>
        <v>21</v>
      </c>
    </row>
    <row r="115" spans="1:24">
      <c r="A115" s="25" t="s">
        <v>1246</v>
      </c>
      <c r="B115" s="25" t="s">
        <v>323</v>
      </c>
      <c r="C115" s="25" t="s">
        <v>324</v>
      </c>
      <c r="D115" s="25" t="s">
        <v>325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29380</f>
        <v>29380</v>
      </c>
      <c r="L115" s="32" t="s">
        <v>1116</v>
      </c>
      <c r="M115" s="31">
        <f>30000</f>
        <v>30000</v>
      </c>
      <c r="N115" s="32" t="s">
        <v>1145</v>
      </c>
      <c r="O115" s="31">
        <f>28540</f>
        <v>28540</v>
      </c>
      <c r="P115" s="32" t="s">
        <v>680</v>
      </c>
      <c r="Q115" s="31">
        <f>29570</f>
        <v>29570</v>
      </c>
      <c r="R115" s="32" t="s">
        <v>777</v>
      </c>
      <c r="S115" s="33">
        <f>29320.95</f>
        <v>29320.95</v>
      </c>
      <c r="T115" s="30">
        <f>3250</f>
        <v>3250</v>
      </c>
      <c r="U115" s="30">
        <f>3</f>
        <v>3</v>
      </c>
      <c r="V115" s="30">
        <f>95821461</f>
        <v>95821461</v>
      </c>
      <c r="W115" s="30">
        <f>87616</f>
        <v>87616</v>
      </c>
      <c r="X115" s="34">
        <f>21</f>
        <v>21</v>
      </c>
    </row>
    <row r="116" spans="1:24">
      <c r="A116" s="25" t="s">
        <v>1246</v>
      </c>
      <c r="B116" s="25" t="s">
        <v>326</v>
      </c>
      <c r="C116" s="25" t="s">
        <v>327</v>
      </c>
      <c r="D116" s="25" t="s">
        <v>328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28165</f>
        <v>28165</v>
      </c>
      <c r="L116" s="32" t="s">
        <v>1116</v>
      </c>
      <c r="M116" s="31">
        <f>29025</f>
        <v>29025</v>
      </c>
      <c r="N116" s="32" t="s">
        <v>674</v>
      </c>
      <c r="O116" s="31">
        <f>27050</f>
        <v>27050</v>
      </c>
      <c r="P116" s="32" t="s">
        <v>680</v>
      </c>
      <c r="Q116" s="31">
        <f>27555</f>
        <v>27555</v>
      </c>
      <c r="R116" s="32" t="s">
        <v>777</v>
      </c>
      <c r="S116" s="33">
        <f>27712.62</f>
        <v>27712.62</v>
      </c>
      <c r="T116" s="30">
        <f>33325</f>
        <v>33325</v>
      </c>
      <c r="U116" s="30">
        <f>18551</f>
        <v>18551</v>
      </c>
      <c r="V116" s="30">
        <f>920350484</f>
        <v>920350484</v>
      </c>
      <c r="W116" s="30">
        <f>509731389</f>
        <v>509731389</v>
      </c>
      <c r="X116" s="34">
        <f>21</f>
        <v>21</v>
      </c>
    </row>
    <row r="117" spans="1:24">
      <c r="A117" s="25" t="s">
        <v>1246</v>
      </c>
      <c r="B117" s="25" t="s">
        <v>329</v>
      </c>
      <c r="C117" s="25" t="s">
        <v>330</v>
      </c>
      <c r="D117" s="25" t="s">
        <v>331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27975</f>
        <v>27975</v>
      </c>
      <c r="L117" s="32" t="s">
        <v>1116</v>
      </c>
      <c r="M117" s="31">
        <f>33370</f>
        <v>33370</v>
      </c>
      <c r="N117" s="32" t="s">
        <v>1111</v>
      </c>
      <c r="O117" s="31">
        <f>27975</f>
        <v>27975</v>
      </c>
      <c r="P117" s="32" t="s">
        <v>1116</v>
      </c>
      <c r="Q117" s="31">
        <f>32720</f>
        <v>32720</v>
      </c>
      <c r="R117" s="32" t="s">
        <v>777</v>
      </c>
      <c r="S117" s="33">
        <f>29740.95</f>
        <v>29740.95</v>
      </c>
      <c r="T117" s="30">
        <f>41430</f>
        <v>41430</v>
      </c>
      <c r="U117" s="30">
        <f>11084</f>
        <v>11084</v>
      </c>
      <c r="V117" s="30">
        <f>1260669789</f>
        <v>1260669789</v>
      </c>
      <c r="W117" s="30">
        <f>326050409</f>
        <v>326050409</v>
      </c>
      <c r="X117" s="34">
        <f>21</f>
        <v>21</v>
      </c>
    </row>
    <row r="118" spans="1:24">
      <c r="A118" s="25" t="s">
        <v>1246</v>
      </c>
      <c r="B118" s="25" t="s">
        <v>332</v>
      </c>
      <c r="C118" s="25" t="s">
        <v>333</v>
      </c>
      <c r="D118" s="25" t="s">
        <v>334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26380</f>
        <v>26380</v>
      </c>
      <c r="L118" s="32" t="s">
        <v>1116</v>
      </c>
      <c r="M118" s="31">
        <f>27465</f>
        <v>27465</v>
      </c>
      <c r="N118" s="32" t="s">
        <v>1111</v>
      </c>
      <c r="O118" s="31">
        <f>25810</f>
        <v>25810</v>
      </c>
      <c r="P118" s="32" t="s">
        <v>680</v>
      </c>
      <c r="Q118" s="31">
        <f>27245</f>
        <v>27245</v>
      </c>
      <c r="R118" s="32" t="s">
        <v>777</v>
      </c>
      <c r="S118" s="33">
        <f>26743.33</f>
        <v>26743.33</v>
      </c>
      <c r="T118" s="30">
        <f>4937</f>
        <v>4937</v>
      </c>
      <c r="U118" s="30">
        <f>1</f>
        <v>1</v>
      </c>
      <c r="V118" s="30">
        <f>132370720</f>
        <v>132370720</v>
      </c>
      <c r="W118" s="30">
        <f>27245</f>
        <v>27245</v>
      </c>
      <c r="X118" s="34">
        <f>21</f>
        <v>21</v>
      </c>
    </row>
    <row r="119" spans="1:24">
      <c r="A119" s="25" t="s">
        <v>1246</v>
      </c>
      <c r="B119" s="25" t="s">
        <v>335</v>
      </c>
      <c r="C119" s="25" t="s">
        <v>336</v>
      </c>
      <c r="D119" s="25" t="s">
        <v>337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56310</f>
        <v>56310</v>
      </c>
      <c r="L119" s="32" t="s">
        <v>1116</v>
      </c>
      <c r="M119" s="31">
        <f>58820</f>
        <v>58820</v>
      </c>
      <c r="N119" s="32" t="s">
        <v>1111</v>
      </c>
      <c r="O119" s="31">
        <f>56200</f>
        <v>56200</v>
      </c>
      <c r="P119" s="32" t="s">
        <v>680</v>
      </c>
      <c r="Q119" s="31">
        <f>58330</f>
        <v>58330</v>
      </c>
      <c r="R119" s="32" t="s">
        <v>777</v>
      </c>
      <c r="S119" s="33">
        <f>57480</f>
        <v>57480</v>
      </c>
      <c r="T119" s="30">
        <f>8836</f>
        <v>8836</v>
      </c>
      <c r="U119" s="30">
        <f>4053</f>
        <v>4053</v>
      </c>
      <c r="V119" s="30">
        <f>505701225</f>
        <v>505701225</v>
      </c>
      <c r="W119" s="30">
        <f>230619895</f>
        <v>230619895</v>
      </c>
      <c r="X119" s="34">
        <f>21</f>
        <v>21</v>
      </c>
    </row>
    <row r="120" spans="1:24">
      <c r="A120" s="25" t="s">
        <v>1246</v>
      </c>
      <c r="B120" s="25" t="s">
        <v>338</v>
      </c>
      <c r="C120" s="25" t="s">
        <v>339</v>
      </c>
      <c r="D120" s="25" t="s">
        <v>340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36740</f>
        <v>36740</v>
      </c>
      <c r="L120" s="32" t="s">
        <v>1116</v>
      </c>
      <c r="M120" s="31">
        <f>39370</f>
        <v>39370</v>
      </c>
      <c r="N120" s="32" t="s">
        <v>677</v>
      </c>
      <c r="O120" s="31">
        <f>36740</f>
        <v>36740</v>
      </c>
      <c r="P120" s="32" t="s">
        <v>1116</v>
      </c>
      <c r="Q120" s="31">
        <f>38800</f>
        <v>38800</v>
      </c>
      <c r="R120" s="32" t="s">
        <v>777</v>
      </c>
      <c r="S120" s="33">
        <f>38310</f>
        <v>38310</v>
      </c>
      <c r="T120" s="30">
        <f>10482</f>
        <v>10482</v>
      </c>
      <c r="U120" s="30">
        <f>3080</f>
        <v>3080</v>
      </c>
      <c r="V120" s="30">
        <f>404265080</f>
        <v>404265080</v>
      </c>
      <c r="W120" s="30">
        <f>118412680</f>
        <v>118412680</v>
      </c>
      <c r="X120" s="34">
        <f>21</f>
        <v>21</v>
      </c>
    </row>
    <row r="121" spans="1:24">
      <c r="A121" s="25" t="s">
        <v>1246</v>
      </c>
      <c r="B121" s="25" t="s">
        <v>341</v>
      </c>
      <c r="C121" s="25" t="s">
        <v>342</v>
      </c>
      <c r="D121" s="25" t="s">
        <v>343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36450</f>
        <v>36450</v>
      </c>
      <c r="L121" s="32" t="s">
        <v>1116</v>
      </c>
      <c r="M121" s="31">
        <f>38200</f>
        <v>38200</v>
      </c>
      <c r="N121" s="32" t="s">
        <v>677</v>
      </c>
      <c r="O121" s="31">
        <f>36450</f>
        <v>36450</v>
      </c>
      <c r="P121" s="32" t="s">
        <v>1116</v>
      </c>
      <c r="Q121" s="31">
        <f>37650</f>
        <v>37650</v>
      </c>
      <c r="R121" s="32" t="s">
        <v>777</v>
      </c>
      <c r="S121" s="33">
        <f>37460.95</f>
        <v>37460.949999999997</v>
      </c>
      <c r="T121" s="30">
        <f>4174</f>
        <v>4174</v>
      </c>
      <c r="U121" s="30">
        <f>50</f>
        <v>50</v>
      </c>
      <c r="V121" s="30">
        <f>156366300</f>
        <v>156366300</v>
      </c>
      <c r="W121" s="30">
        <f>1862410</f>
        <v>1862410</v>
      </c>
      <c r="X121" s="34">
        <f>21</f>
        <v>21</v>
      </c>
    </row>
    <row r="122" spans="1:24">
      <c r="A122" s="25" t="s">
        <v>1246</v>
      </c>
      <c r="B122" s="25" t="s">
        <v>344</v>
      </c>
      <c r="C122" s="25" t="s">
        <v>345</v>
      </c>
      <c r="D122" s="25" t="s">
        <v>346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8633</f>
        <v>8633</v>
      </c>
      <c r="L122" s="32" t="s">
        <v>1116</v>
      </c>
      <c r="M122" s="31">
        <f>8800</f>
        <v>8800</v>
      </c>
      <c r="N122" s="32" t="s">
        <v>1145</v>
      </c>
      <c r="O122" s="31">
        <f>7900</f>
        <v>7900</v>
      </c>
      <c r="P122" s="32" t="s">
        <v>1118</v>
      </c>
      <c r="Q122" s="31">
        <f>8407</f>
        <v>8407</v>
      </c>
      <c r="R122" s="32" t="s">
        <v>777</v>
      </c>
      <c r="S122" s="33">
        <f>8320.71</f>
        <v>8320.7099999999991</v>
      </c>
      <c r="T122" s="30">
        <f>117236</f>
        <v>117236</v>
      </c>
      <c r="U122" s="30">
        <f>55000</f>
        <v>55000</v>
      </c>
      <c r="V122" s="30">
        <f>969810684</f>
        <v>969810684</v>
      </c>
      <c r="W122" s="30">
        <f>451818522</f>
        <v>451818522</v>
      </c>
      <c r="X122" s="34">
        <f>21</f>
        <v>21</v>
      </c>
    </row>
    <row r="123" spans="1:24">
      <c r="A123" s="25" t="s">
        <v>1246</v>
      </c>
      <c r="B123" s="25" t="s">
        <v>347</v>
      </c>
      <c r="C123" s="25" t="s">
        <v>348</v>
      </c>
      <c r="D123" s="25" t="s">
        <v>349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18300</f>
        <v>18300</v>
      </c>
      <c r="L123" s="32" t="s">
        <v>1116</v>
      </c>
      <c r="M123" s="31">
        <f>18645</f>
        <v>18645</v>
      </c>
      <c r="N123" s="32" t="s">
        <v>1145</v>
      </c>
      <c r="O123" s="31">
        <f>17850</f>
        <v>17850</v>
      </c>
      <c r="P123" s="32" t="s">
        <v>679</v>
      </c>
      <c r="Q123" s="31">
        <f>18310</f>
        <v>18310</v>
      </c>
      <c r="R123" s="32" t="s">
        <v>777</v>
      </c>
      <c r="S123" s="33">
        <f>18191.9</f>
        <v>18191.900000000001</v>
      </c>
      <c r="T123" s="30">
        <f>9213</f>
        <v>9213</v>
      </c>
      <c r="U123" s="30" t="str">
        <f>"－"</f>
        <v>－</v>
      </c>
      <c r="V123" s="30">
        <f>167953845</f>
        <v>167953845</v>
      </c>
      <c r="W123" s="30" t="str">
        <f>"－"</f>
        <v>－</v>
      </c>
      <c r="X123" s="34">
        <f>21</f>
        <v>21</v>
      </c>
    </row>
    <row r="124" spans="1:24">
      <c r="A124" s="25" t="s">
        <v>1246</v>
      </c>
      <c r="B124" s="25" t="s">
        <v>350</v>
      </c>
      <c r="C124" s="25" t="s">
        <v>351</v>
      </c>
      <c r="D124" s="25" t="s">
        <v>352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79800</f>
        <v>79800</v>
      </c>
      <c r="L124" s="32" t="s">
        <v>1116</v>
      </c>
      <c r="M124" s="31">
        <f>84700</f>
        <v>84700</v>
      </c>
      <c r="N124" s="32" t="s">
        <v>777</v>
      </c>
      <c r="O124" s="31">
        <f>79470</f>
        <v>79470</v>
      </c>
      <c r="P124" s="32" t="s">
        <v>680</v>
      </c>
      <c r="Q124" s="31">
        <f>83520</f>
        <v>83520</v>
      </c>
      <c r="R124" s="32" t="s">
        <v>777</v>
      </c>
      <c r="S124" s="33">
        <f>81512.38</f>
        <v>81512.38</v>
      </c>
      <c r="T124" s="30">
        <f>11345</f>
        <v>11345</v>
      </c>
      <c r="U124" s="30">
        <f>29</f>
        <v>29</v>
      </c>
      <c r="V124" s="30">
        <f>930206290</f>
        <v>930206290</v>
      </c>
      <c r="W124" s="30">
        <f>2386980</f>
        <v>2386980</v>
      </c>
      <c r="X124" s="34">
        <f>21</f>
        <v>21</v>
      </c>
    </row>
    <row r="125" spans="1:24">
      <c r="A125" s="25" t="s">
        <v>1246</v>
      </c>
      <c r="B125" s="25" t="s">
        <v>1139</v>
      </c>
      <c r="C125" s="25" t="s">
        <v>1138</v>
      </c>
      <c r="D125" s="25" t="s">
        <v>1137</v>
      </c>
      <c r="E125" s="26" t="s">
        <v>43</v>
      </c>
      <c r="F125" s="27" t="s">
        <v>43</v>
      </c>
      <c r="G125" s="28" t="s">
        <v>43</v>
      </c>
      <c r="H125" s="29"/>
      <c r="I125" s="29" t="s">
        <v>465</v>
      </c>
      <c r="J125" s="30">
        <v>1</v>
      </c>
      <c r="K125" s="31">
        <f>10030</f>
        <v>10030</v>
      </c>
      <c r="L125" s="32" t="s">
        <v>1116</v>
      </c>
      <c r="M125" s="31">
        <f>10345</f>
        <v>10345</v>
      </c>
      <c r="N125" s="32" t="s">
        <v>1111</v>
      </c>
      <c r="O125" s="31">
        <f>9913</f>
        <v>9913</v>
      </c>
      <c r="P125" s="32" t="s">
        <v>680</v>
      </c>
      <c r="Q125" s="31">
        <f>10255</f>
        <v>10255</v>
      </c>
      <c r="R125" s="32" t="s">
        <v>777</v>
      </c>
      <c r="S125" s="33">
        <f>10105.53</f>
        <v>10105.530000000001</v>
      </c>
      <c r="T125" s="30">
        <f>9436</f>
        <v>9436</v>
      </c>
      <c r="U125" s="30">
        <f>1</f>
        <v>1</v>
      </c>
      <c r="V125" s="30">
        <f>95958463</f>
        <v>95958463</v>
      </c>
      <c r="W125" s="30">
        <f>10255</f>
        <v>10255</v>
      </c>
      <c r="X125" s="34">
        <f>19</f>
        <v>19</v>
      </c>
    </row>
    <row r="126" spans="1:24">
      <c r="A126" s="25" t="s">
        <v>1246</v>
      </c>
      <c r="B126" s="25" t="s">
        <v>353</v>
      </c>
      <c r="C126" s="25" t="s">
        <v>354</v>
      </c>
      <c r="D126" s="25" t="s">
        <v>355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31780</f>
        <v>31780</v>
      </c>
      <c r="L126" s="32" t="s">
        <v>1116</v>
      </c>
      <c r="M126" s="31">
        <f>32990</f>
        <v>32990</v>
      </c>
      <c r="N126" s="32" t="s">
        <v>677</v>
      </c>
      <c r="O126" s="31">
        <f>31370</f>
        <v>31370</v>
      </c>
      <c r="P126" s="32" t="s">
        <v>1116</v>
      </c>
      <c r="Q126" s="31">
        <f>32590</f>
        <v>32590</v>
      </c>
      <c r="R126" s="32" t="s">
        <v>777</v>
      </c>
      <c r="S126" s="33">
        <f>32367.62</f>
        <v>32367.62</v>
      </c>
      <c r="T126" s="30">
        <f>4691</f>
        <v>4691</v>
      </c>
      <c r="U126" s="30">
        <f>86</f>
        <v>86</v>
      </c>
      <c r="V126" s="30">
        <f>151613910</f>
        <v>151613910</v>
      </c>
      <c r="W126" s="30">
        <f>2784460</f>
        <v>2784460</v>
      </c>
      <c r="X126" s="34">
        <f>21</f>
        <v>21</v>
      </c>
    </row>
    <row r="127" spans="1:24">
      <c r="A127" s="25" t="s">
        <v>1246</v>
      </c>
      <c r="B127" s="25" t="s">
        <v>356</v>
      </c>
      <c r="C127" s="25" t="s">
        <v>357</v>
      </c>
      <c r="D127" s="25" t="s">
        <v>358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20220</f>
        <v>20220</v>
      </c>
      <c r="L127" s="32" t="s">
        <v>1116</v>
      </c>
      <c r="M127" s="31">
        <f>20815</f>
        <v>20815</v>
      </c>
      <c r="N127" s="32" t="s">
        <v>675</v>
      </c>
      <c r="O127" s="31">
        <f>19650</f>
        <v>19650</v>
      </c>
      <c r="P127" s="32" t="s">
        <v>778</v>
      </c>
      <c r="Q127" s="31">
        <f>20340</f>
        <v>20340</v>
      </c>
      <c r="R127" s="32" t="s">
        <v>777</v>
      </c>
      <c r="S127" s="33">
        <f>20222.86</f>
        <v>20222.86</v>
      </c>
      <c r="T127" s="30">
        <f>203726</f>
        <v>203726</v>
      </c>
      <c r="U127" s="30">
        <f>157337</f>
        <v>157337</v>
      </c>
      <c r="V127" s="30">
        <f>4174135319</f>
        <v>4174135319</v>
      </c>
      <c r="W127" s="30">
        <f>3231307754</f>
        <v>3231307754</v>
      </c>
      <c r="X127" s="34">
        <f>21</f>
        <v>21</v>
      </c>
    </row>
    <row r="128" spans="1:24">
      <c r="A128" s="25" t="s">
        <v>1246</v>
      </c>
      <c r="B128" s="25" t="s">
        <v>359</v>
      </c>
      <c r="C128" s="25" t="s">
        <v>360</v>
      </c>
      <c r="D128" s="25" t="s">
        <v>361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27890</f>
        <v>27890</v>
      </c>
      <c r="L128" s="32" t="s">
        <v>1116</v>
      </c>
      <c r="M128" s="31">
        <f>29150</f>
        <v>29150</v>
      </c>
      <c r="N128" s="32" t="s">
        <v>675</v>
      </c>
      <c r="O128" s="31">
        <f>27455</f>
        <v>27455</v>
      </c>
      <c r="P128" s="32" t="s">
        <v>680</v>
      </c>
      <c r="Q128" s="31">
        <f>28740</f>
        <v>28740</v>
      </c>
      <c r="R128" s="32" t="s">
        <v>777</v>
      </c>
      <c r="S128" s="33">
        <f>28348.1</f>
        <v>28348.1</v>
      </c>
      <c r="T128" s="30">
        <f>23678</f>
        <v>23678</v>
      </c>
      <c r="U128" s="30">
        <f>4002</f>
        <v>4002</v>
      </c>
      <c r="V128" s="30">
        <f>677758365</f>
        <v>677758365</v>
      </c>
      <c r="W128" s="30">
        <f>115958120</f>
        <v>115958120</v>
      </c>
      <c r="X128" s="34">
        <f>21</f>
        <v>21</v>
      </c>
    </row>
    <row r="129" spans="1:24">
      <c r="A129" s="25" t="s">
        <v>1246</v>
      </c>
      <c r="B129" s="25" t="s">
        <v>362</v>
      </c>
      <c r="C129" s="25" t="s">
        <v>363</v>
      </c>
      <c r="D129" s="25" t="s">
        <v>364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36950</f>
        <v>36950</v>
      </c>
      <c r="L129" s="32" t="s">
        <v>1116</v>
      </c>
      <c r="M129" s="31">
        <f>38670</f>
        <v>38670</v>
      </c>
      <c r="N129" s="32" t="s">
        <v>777</v>
      </c>
      <c r="O129" s="31">
        <f>36320</f>
        <v>36320</v>
      </c>
      <c r="P129" s="32" t="s">
        <v>680</v>
      </c>
      <c r="Q129" s="31">
        <f>38380</f>
        <v>38380</v>
      </c>
      <c r="R129" s="32" t="s">
        <v>777</v>
      </c>
      <c r="S129" s="33">
        <f>37591.9</f>
        <v>37591.9</v>
      </c>
      <c r="T129" s="30">
        <f>10417</f>
        <v>10417</v>
      </c>
      <c r="U129" s="30">
        <f>3017</f>
        <v>3017</v>
      </c>
      <c r="V129" s="30">
        <f>390523610</f>
        <v>390523610</v>
      </c>
      <c r="W129" s="30">
        <f>113367460</f>
        <v>113367460</v>
      </c>
      <c r="X129" s="34">
        <f>21</f>
        <v>21</v>
      </c>
    </row>
    <row r="130" spans="1:24">
      <c r="A130" s="25" t="s">
        <v>1246</v>
      </c>
      <c r="B130" s="25" t="s">
        <v>1136</v>
      </c>
      <c r="C130" s="25" t="s">
        <v>1135</v>
      </c>
      <c r="D130" s="25" t="s">
        <v>1134</v>
      </c>
      <c r="E130" s="26" t="s">
        <v>43</v>
      </c>
      <c r="F130" s="27" t="s">
        <v>43</v>
      </c>
      <c r="G130" s="28" t="s">
        <v>43</v>
      </c>
      <c r="H130" s="29"/>
      <c r="I130" s="29" t="s">
        <v>465</v>
      </c>
      <c r="J130" s="30">
        <v>1</v>
      </c>
      <c r="K130" s="31">
        <f>8022</f>
        <v>8022</v>
      </c>
      <c r="L130" s="32" t="s">
        <v>1116</v>
      </c>
      <c r="M130" s="31">
        <f>8461</f>
        <v>8461</v>
      </c>
      <c r="N130" s="32" t="s">
        <v>1111</v>
      </c>
      <c r="O130" s="31">
        <f>8015</f>
        <v>8015</v>
      </c>
      <c r="P130" s="32" t="s">
        <v>1116</v>
      </c>
      <c r="Q130" s="31">
        <f>8331</f>
        <v>8331</v>
      </c>
      <c r="R130" s="32" t="s">
        <v>777</v>
      </c>
      <c r="S130" s="33">
        <f>8239.52</f>
        <v>8239.52</v>
      </c>
      <c r="T130" s="30">
        <f>88216</f>
        <v>88216</v>
      </c>
      <c r="U130" s="30">
        <f>4</f>
        <v>4</v>
      </c>
      <c r="V130" s="30">
        <f>726324692</f>
        <v>726324692</v>
      </c>
      <c r="W130" s="30">
        <f>33324</f>
        <v>33324</v>
      </c>
      <c r="X130" s="34">
        <f>21</f>
        <v>21</v>
      </c>
    </row>
    <row r="131" spans="1:24">
      <c r="A131" s="25" t="s">
        <v>1246</v>
      </c>
      <c r="B131" s="25" t="s">
        <v>365</v>
      </c>
      <c r="C131" s="25" t="s">
        <v>926</v>
      </c>
      <c r="D131" s="25" t="s">
        <v>927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</v>
      </c>
      <c r="K131" s="31">
        <f>2001</f>
        <v>2001</v>
      </c>
      <c r="L131" s="32" t="s">
        <v>1116</v>
      </c>
      <c r="M131" s="31">
        <f>2110</f>
        <v>2110</v>
      </c>
      <c r="N131" s="32" t="s">
        <v>777</v>
      </c>
      <c r="O131" s="31">
        <f>1989</f>
        <v>1989</v>
      </c>
      <c r="P131" s="32" t="s">
        <v>680</v>
      </c>
      <c r="Q131" s="31">
        <f>2091</f>
        <v>2091</v>
      </c>
      <c r="R131" s="32" t="s">
        <v>777</v>
      </c>
      <c r="S131" s="33">
        <f>2037</f>
        <v>2037</v>
      </c>
      <c r="T131" s="30">
        <f>370565</f>
        <v>370565</v>
      </c>
      <c r="U131" s="30">
        <f>113705</f>
        <v>113705</v>
      </c>
      <c r="V131" s="30">
        <f>759827383</f>
        <v>759827383</v>
      </c>
      <c r="W131" s="30">
        <f>233490906</f>
        <v>233490906</v>
      </c>
      <c r="X131" s="34">
        <f>21</f>
        <v>21</v>
      </c>
    </row>
    <row r="132" spans="1:24">
      <c r="A132" s="25" t="s">
        <v>1246</v>
      </c>
      <c r="B132" s="25" t="s">
        <v>366</v>
      </c>
      <c r="C132" s="25" t="s">
        <v>928</v>
      </c>
      <c r="D132" s="25" t="s">
        <v>929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10</v>
      </c>
      <c r="K132" s="31">
        <f>3265</f>
        <v>3265</v>
      </c>
      <c r="L132" s="32" t="s">
        <v>1116</v>
      </c>
      <c r="M132" s="31">
        <f>3388</f>
        <v>3388</v>
      </c>
      <c r="N132" s="32" t="s">
        <v>675</v>
      </c>
      <c r="O132" s="31">
        <f>3247</f>
        <v>3247</v>
      </c>
      <c r="P132" s="32" t="s">
        <v>680</v>
      </c>
      <c r="Q132" s="31">
        <f>3341</f>
        <v>3341</v>
      </c>
      <c r="R132" s="32" t="s">
        <v>777</v>
      </c>
      <c r="S132" s="33">
        <f>3314.62</f>
        <v>3314.62</v>
      </c>
      <c r="T132" s="30">
        <f>87380</f>
        <v>87380</v>
      </c>
      <c r="U132" s="30">
        <f>20</f>
        <v>20</v>
      </c>
      <c r="V132" s="30">
        <f>290433620</f>
        <v>290433620</v>
      </c>
      <c r="W132" s="30">
        <f>66820</f>
        <v>66820</v>
      </c>
      <c r="X132" s="34">
        <f>21</f>
        <v>21</v>
      </c>
    </row>
    <row r="133" spans="1:24">
      <c r="A133" s="25" t="s">
        <v>1246</v>
      </c>
      <c r="B133" s="25" t="s">
        <v>367</v>
      </c>
      <c r="C133" s="25" t="s">
        <v>930</v>
      </c>
      <c r="D133" s="25" t="s">
        <v>931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3500</f>
        <v>3500</v>
      </c>
      <c r="L133" s="32" t="s">
        <v>1116</v>
      </c>
      <c r="M133" s="31">
        <f>3653</f>
        <v>3653</v>
      </c>
      <c r="N133" s="32" t="s">
        <v>777</v>
      </c>
      <c r="O133" s="31">
        <f>3440</f>
        <v>3440</v>
      </c>
      <c r="P133" s="32" t="s">
        <v>677</v>
      </c>
      <c r="Q133" s="31">
        <f>3650</f>
        <v>3650</v>
      </c>
      <c r="R133" s="32" t="s">
        <v>777</v>
      </c>
      <c r="S133" s="33">
        <f>3578.75</f>
        <v>3578.75</v>
      </c>
      <c r="T133" s="30">
        <f>37020</f>
        <v>37020</v>
      </c>
      <c r="U133" s="30">
        <f>20</f>
        <v>20</v>
      </c>
      <c r="V133" s="30">
        <f>132805890</f>
        <v>132805890</v>
      </c>
      <c r="W133" s="30">
        <f>73000</f>
        <v>73000</v>
      </c>
      <c r="X133" s="34">
        <f>16</f>
        <v>16</v>
      </c>
    </row>
    <row r="134" spans="1:24">
      <c r="A134" s="25" t="s">
        <v>1246</v>
      </c>
      <c r="B134" s="25" t="s">
        <v>368</v>
      </c>
      <c r="C134" s="25" t="s">
        <v>932</v>
      </c>
      <c r="D134" s="25" t="s">
        <v>933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2232.5</f>
        <v>2232.5</v>
      </c>
      <c r="L134" s="32" t="s">
        <v>876</v>
      </c>
      <c r="M134" s="31">
        <f>2305</f>
        <v>2305</v>
      </c>
      <c r="N134" s="32" t="s">
        <v>777</v>
      </c>
      <c r="O134" s="31">
        <f>2208.5</f>
        <v>2208.5</v>
      </c>
      <c r="P134" s="32" t="s">
        <v>1118</v>
      </c>
      <c r="Q134" s="31">
        <f>2278.5</f>
        <v>2278.5</v>
      </c>
      <c r="R134" s="32" t="s">
        <v>777</v>
      </c>
      <c r="S134" s="33">
        <f>2244.33</f>
        <v>2244.33</v>
      </c>
      <c r="T134" s="30">
        <f>43440</f>
        <v>43440</v>
      </c>
      <c r="U134" s="30">
        <f>10</f>
        <v>10</v>
      </c>
      <c r="V134" s="30">
        <f>98573495</f>
        <v>98573495</v>
      </c>
      <c r="W134" s="30">
        <f>22785</f>
        <v>22785</v>
      </c>
      <c r="X134" s="34">
        <f>12</f>
        <v>12</v>
      </c>
    </row>
    <row r="135" spans="1:24">
      <c r="A135" s="25" t="s">
        <v>1246</v>
      </c>
      <c r="B135" s="25" t="s">
        <v>369</v>
      </c>
      <c r="C135" s="25" t="s">
        <v>370</v>
      </c>
      <c r="D135" s="25" t="s">
        <v>371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652.5</f>
        <v>652.5</v>
      </c>
      <c r="L135" s="32" t="s">
        <v>1116</v>
      </c>
      <c r="M135" s="31">
        <f>688.5</f>
        <v>688.5</v>
      </c>
      <c r="N135" s="32" t="s">
        <v>1111</v>
      </c>
      <c r="O135" s="31">
        <f>652.3</f>
        <v>652.29999999999995</v>
      </c>
      <c r="P135" s="32" t="s">
        <v>1116</v>
      </c>
      <c r="Q135" s="31">
        <f>681.5</f>
        <v>681.5</v>
      </c>
      <c r="R135" s="32" t="s">
        <v>777</v>
      </c>
      <c r="S135" s="33">
        <f>668.5</f>
        <v>668.5</v>
      </c>
      <c r="T135" s="30">
        <f>62357440</f>
        <v>62357440</v>
      </c>
      <c r="U135" s="30">
        <f>1514410</f>
        <v>1514410</v>
      </c>
      <c r="V135" s="30">
        <f>41885744903</f>
        <v>41885744903</v>
      </c>
      <c r="W135" s="30">
        <f>1017305287</f>
        <v>1017305287</v>
      </c>
      <c r="X135" s="34">
        <f>21</f>
        <v>21</v>
      </c>
    </row>
    <row r="136" spans="1:24">
      <c r="A136" s="25" t="s">
        <v>1246</v>
      </c>
      <c r="B136" s="25" t="s">
        <v>372</v>
      </c>
      <c r="C136" s="25" t="s">
        <v>373</v>
      </c>
      <c r="D136" s="25" t="s">
        <v>374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299</f>
        <v>299</v>
      </c>
      <c r="L136" s="32" t="s">
        <v>1116</v>
      </c>
      <c r="M136" s="31">
        <f>307.6</f>
        <v>307.60000000000002</v>
      </c>
      <c r="N136" s="32" t="s">
        <v>679</v>
      </c>
      <c r="O136" s="31">
        <f>295</f>
        <v>295</v>
      </c>
      <c r="P136" s="32" t="s">
        <v>680</v>
      </c>
      <c r="Q136" s="31">
        <f>306.8</f>
        <v>306.8</v>
      </c>
      <c r="R136" s="32" t="s">
        <v>777</v>
      </c>
      <c r="S136" s="33">
        <f>302.57</f>
        <v>302.57</v>
      </c>
      <c r="T136" s="30">
        <f>21521710</f>
        <v>21521710</v>
      </c>
      <c r="U136" s="30">
        <f>13562590</f>
        <v>13562590</v>
      </c>
      <c r="V136" s="30">
        <f>6476946179</f>
        <v>6476946179</v>
      </c>
      <c r="W136" s="30">
        <f>4078987329</f>
        <v>4078987329</v>
      </c>
      <c r="X136" s="34">
        <f>21</f>
        <v>21</v>
      </c>
    </row>
    <row r="137" spans="1:24">
      <c r="A137" s="25" t="s">
        <v>1246</v>
      </c>
      <c r="B137" s="25" t="s">
        <v>375</v>
      </c>
      <c r="C137" s="25" t="s">
        <v>973</v>
      </c>
      <c r="D137" s="25" t="s">
        <v>376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</v>
      </c>
      <c r="K137" s="31">
        <f>5320</f>
        <v>5320</v>
      </c>
      <c r="L137" s="32" t="s">
        <v>1116</v>
      </c>
      <c r="M137" s="31">
        <f>5570</f>
        <v>5570</v>
      </c>
      <c r="N137" s="32" t="s">
        <v>676</v>
      </c>
      <c r="O137" s="31">
        <f>5250</f>
        <v>5250</v>
      </c>
      <c r="P137" s="32" t="s">
        <v>778</v>
      </c>
      <c r="Q137" s="31">
        <f>5540</f>
        <v>5540</v>
      </c>
      <c r="R137" s="32" t="s">
        <v>777</v>
      </c>
      <c r="S137" s="33">
        <f>5440.95</f>
        <v>5440.95</v>
      </c>
      <c r="T137" s="30">
        <f>134691</f>
        <v>134691</v>
      </c>
      <c r="U137" s="30">
        <f>8697</f>
        <v>8697</v>
      </c>
      <c r="V137" s="30">
        <f>729792928</f>
        <v>729792928</v>
      </c>
      <c r="W137" s="30">
        <f>47787578</f>
        <v>47787578</v>
      </c>
      <c r="X137" s="34">
        <f>21</f>
        <v>21</v>
      </c>
    </row>
    <row r="138" spans="1:24">
      <c r="A138" s="25" t="s">
        <v>1246</v>
      </c>
      <c r="B138" s="25" t="s">
        <v>377</v>
      </c>
      <c r="C138" s="25" t="s">
        <v>378</v>
      </c>
      <c r="D138" s="25" t="s">
        <v>379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2755</f>
        <v>2755</v>
      </c>
      <c r="L138" s="32" t="s">
        <v>1116</v>
      </c>
      <c r="M138" s="31">
        <f>2895</f>
        <v>2895</v>
      </c>
      <c r="N138" s="32" t="s">
        <v>876</v>
      </c>
      <c r="O138" s="31">
        <f>2718</f>
        <v>2718</v>
      </c>
      <c r="P138" s="32" t="s">
        <v>675</v>
      </c>
      <c r="Q138" s="31">
        <f>2845</f>
        <v>2845</v>
      </c>
      <c r="R138" s="32" t="s">
        <v>777</v>
      </c>
      <c r="S138" s="33">
        <f>2815.9</f>
        <v>2815.9</v>
      </c>
      <c r="T138" s="30">
        <f>166977</f>
        <v>166977</v>
      </c>
      <c r="U138" s="30">
        <f>56900</f>
        <v>56900</v>
      </c>
      <c r="V138" s="30">
        <f>470891886</f>
        <v>470891886</v>
      </c>
      <c r="W138" s="30">
        <f>160474903</f>
        <v>160474903</v>
      </c>
      <c r="X138" s="34">
        <f>21</f>
        <v>21</v>
      </c>
    </row>
    <row r="139" spans="1:24">
      <c r="A139" s="25" t="s">
        <v>1246</v>
      </c>
      <c r="B139" s="25" t="s">
        <v>380</v>
      </c>
      <c r="C139" s="25" t="s">
        <v>381</v>
      </c>
      <c r="D139" s="25" t="s">
        <v>382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3465</f>
        <v>3465</v>
      </c>
      <c r="L139" s="32" t="s">
        <v>1116</v>
      </c>
      <c r="M139" s="31">
        <f>3485</f>
        <v>3485</v>
      </c>
      <c r="N139" s="32" t="s">
        <v>1116</v>
      </c>
      <c r="O139" s="31">
        <f>3250</f>
        <v>3250</v>
      </c>
      <c r="P139" s="32" t="s">
        <v>1118</v>
      </c>
      <c r="Q139" s="31">
        <f>3355</f>
        <v>3355</v>
      </c>
      <c r="R139" s="32" t="s">
        <v>777</v>
      </c>
      <c r="S139" s="33">
        <f>3376.19</f>
        <v>3376.19</v>
      </c>
      <c r="T139" s="30">
        <f>210818</f>
        <v>210818</v>
      </c>
      <c r="U139" s="30">
        <f>6</f>
        <v>6</v>
      </c>
      <c r="V139" s="30">
        <f>708250545</f>
        <v>708250545</v>
      </c>
      <c r="W139" s="30">
        <f>20130</f>
        <v>20130</v>
      </c>
      <c r="X139" s="34">
        <f>21</f>
        <v>21</v>
      </c>
    </row>
    <row r="140" spans="1:24">
      <c r="A140" s="25" t="s">
        <v>1246</v>
      </c>
      <c r="B140" s="25" t="s">
        <v>383</v>
      </c>
      <c r="C140" s="25" t="s">
        <v>384</v>
      </c>
      <c r="D140" s="25" t="s">
        <v>385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9529</f>
        <v>9529</v>
      </c>
      <c r="L140" s="32" t="s">
        <v>1116</v>
      </c>
      <c r="M140" s="31">
        <f>9697</f>
        <v>9697</v>
      </c>
      <c r="N140" s="32" t="s">
        <v>777</v>
      </c>
      <c r="O140" s="31">
        <f>9268</f>
        <v>9268</v>
      </c>
      <c r="P140" s="32" t="s">
        <v>680</v>
      </c>
      <c r="Q140" s="31">
        <f>9617</f>
        <v>9617</v>
      </c>
      <c r="R140" s="32" t="s">
        <v>777</v>
      </c>
      <c r="S140" s="33">
        <f>9425.81</f>
        <v>9425.81</v>
      </c>
      <c r="T140" s="30">
        <f>192498</f>
        <v>192498</v>
      </c>
      <c r="U140" s="30">
        <f>46089</f>
        <v>46089</v>
      </c>
      <c r="V140" s="30">
        <f>1816637101</f>
        <v>1816637101</v>
      </c>
      <c r="W140" s="30">
        <f>438292328</f>
        <v>438292328</v>
      </c>
      <c r="X140" s="34">
        <f>21</f>
        <v>21</v>
      </c>
    </row>
    <row r="141" spans="1:24">
      <c r="A141" s="25" t="s">
        <v>1246</v>
      </c>
      <c r="B141" s="25" t="s">
        <v>386</v>
      </c>
      <c r="C141" s="25" t="s">
        <v>387</v>
      </c>
      <c r="D141" s="25" t="s">
        <v>388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2941</f>
        <v>2941</v>
      </c>
      <c r="L141" s="32" t="s">
        <v>1116</v>
      </c>
      <c r="M141" s="31">
        <f>3230</f>
        <v>3230</v>
      </c>
      <c r="N141" s="32" t="s">
        <v>777</v>
      </c>
      <c r="O141" s="31">
        <f>2895</f>
        <v>2895</v>
      </c>
      <c r="P141" s="32" t="s">
        <v>876</v>
      </c>
      <c r="Q141" s="31">
        <f>3230</f>
        <v>3230</v>
      </c>
      <c r="R141" s="32" t="s">
        <v>777</v>
      </c>
      <c r="S141" s="33">
        <f>3071.52</f>
        <v>3071.52</v>
      </c>
      <c r="T141" s="30">
        <f>3778980</f>
        <v>3778980</v>
      </c>
      <c r="U141" s="30">
        <f>5369</f>
        <v>5369</v>
      </c>
      <c r="V141" s="30">
        <f>11643870201</f>
        <v>11643870201</v>
      </c>
      <c r="W141" s="30">
        <f>16627446</f>
        <v>16627446</v>
      </c>
      <c r="X141" s="34">
        <f>21</f>
        <v>21</v>
      </c>
    </row>
    <row r="142" spans="1:24">
      <c r="A142" s="25" t="s">
        <v>1246</v>
      </c>
      <c r="B142" s="25" t="s">
        <v>389</v>
      </c>
      <c r="C142" s="25" t="s">
        <v>390</v>
      </c>
      <c r="D142" s="25" t="s">
        <v>391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37040</f>
        <v>37040</v>
      </c>
      <c r="L142" s="32" t="s">
        <v>1116</v>
      </c>
      <c r="M142" s="31">
        <f>38860</f>
        <v>38860</v>
      </c>
      <c r="N142" s="32" t="s">
        <v>679</v>
      </c>
      <c r="O142" s="31">
        <f>36700</f>
        <v>36700</v>
      </c>
      <c r="P142" s="32" t="s">
        <v>1124</v>
      </c>
      <c r="Q142" s="31">
        <f>38690</f>
        <v>38690</v>
      </c>
      <c r="R142" s="32" t="s">
        <v>777</v>
      </c>
      <c r="S142" s="33">
        <f>37898.57</f>
        <v>37898.57</v>
      </c>
      <c r="T142" s="30">
        <f>10978</f>
        <v>10978</v>
      </c>
      <c r="U142" s="30">
        <f>2</f>
        <v>2</v>
      </c>
      <c r="V142" s="30">
        <f>416112090</f>
        <v>416112090</v>
      </c>
      <c r="W142" s="30">
        <f>77380</f>
        <v>77380</v>
      </c>
      <c r="X142" s="34">
        <f>21</f>
        <v>21</v>
      </c>
    </row>
    <row r="143" spans="1:24">
      <c r="A143" s="25" t="s">
        <v>1246</v>
      </c>
      <c r="B143" s="25" t="s">
        <v>392</v>
      </c>
      <c r="C143" s="25" t="s">
        <v>393</v>
      </c>
      <c r="D143" s="25" t="s">
        <v>394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10</v>
      </c>
      <c r="K143" s="31">
        <f>4194</f>
        <v>4194</v>
      </c>
      <c r="L143" s="32" t="s">
        <v>1116</v>
      </c>
      <c r="M143" s="31">
        <f>4540</f>
        <v>4540</v>
      </c>
      <c r="N143" s="32" t="s">
        <v>684</v>
      </c>
      <c r="O143" s="31">
        <f>4143</f>
        <v>4143</v>
      </c>
      <c r="P143" s="32" t="s">
        <v>680</v>
      </c>
      <c r="Q143" s="31">
        <f>4270</f>
        <v>4270</v>
      </c>
      <c r="R143" s="32" t="s">
        <v>777</v>
      </c>
      <c r="S143" s="33">
        <f>4296.71</f>
        <v>4296.71</v>
      </c>
      <c r="T143" s="30">
        <f>70770</f>
        <v>70770</v>
      </c>
      <c r="U143" s="30" t="str">
        <f>"－"</f>
        <v>－</v>
      </c>
      <c r="V143" s="30">
        <f>307795960</f>
        <v>307795960</v>
      </c>
      <c r="W143" s="30" t="str">
        <f>"－"</f>
        <v>－</v>
      </c>
      <c r="X143" s="34">
        <f>21</f>
        <v>21</v>
      </c>
    </row>
    <row r="144" spans="1:24">
      <c r="A144" s="25" t="s">
        <v>1246</v>
      </c>
      <c r="B144" s="25" t="s">
        <v>395</v>
      </c>
      <c r="C144" s="25" t="s">
        <v>396</v>
      </c>
      <c r="D144" s="25" t="s">
        <v>397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13035</f>
        <v>13035</v>
      </c>
      <c r="L144" s="32" t="s">
        <v>1116</v>
      </c>
      <c r="M144" s="31">
        <f>13670</f>
        <v>13670</v>
      </c>
      <c r="N144" s="32" t="s">
        <v>676</v>
      </c>
      <c r="O144" s="31">
        <f>12780</f>
        <v>12780</v>
      </c>
      <c r="P144" s="32" t="s">
        <v>876</v>
      </c>
      <c r="Q144" s="31">
        <f>13350</f>
        <v>13350</v>
      </c>
      <c r="R144" s="32" t="s">
        <v>777</v>
      </c>
      <c r="S144" s="33">
        <f>13219.76</f>
        <v>13219.76</v>
      </c>
      <c r="T144" s="30">
        <f>9939</f>
        <v>9939</v>
      </c>
      <c r="U144" s="30">
        <f>1</f>
        <v>1</v>
      </c>
      <c r="V144" s="30">
        <f>131247120</f>
        <v>131247120</v>
      </c>
      <c r="W144" s="30">
        <f>13350</f>
        <v>13350</v>
      </c>
      <c r="X144" s="34">
        <f>21</f>
        <v>21</v>
      </c>
    </row>
    <row r="145" spans="1:24">
      <c r="A145" s="25" t="s">
        <v>1246</v>
      </c>
      <c r="B145" s="25" t="s">
        <v>398</v>
      </c>
      <c r="C145" s="25" t="s">
        <v>399</v>
      </c>
      <c r="D145" s="25" t="s">
        <v>400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13475</f>
        <v>13475</v>
      </c>
      <c r="L145" s="32" t="s">
        <v>1116</v>
      </c>
      <c r="M145" s="31">
        <f>14000</f>
        <v>14000</v>
      </c>
      <c r="N145" s="32" t="s">
        <v>759</v>
      </c>
      <c r="O145" s="31">
        <f>12900</f>
        <v>12900</v>
      </c>
      <c r="P145" s="32" t="s">
        <v>680</v>
      </c>
      <c r="Q145" s="31">
        <f>13255</f>
        <v>13255</v>
      </c>
      <c r="R145" s="32" t="s">
        <v>777</v>
      </c>
      <c r="S145" s="33">
        <f>13461.43</f>
        <v>13461.43</v>
      </c>
      <c r="T145" s="30">
        <f>15750</f>
        <v>15750</v>
      </c>
      <c r="U145" s="30">
        <f>1</f>
        <v>1</v>
      </c>
      <c r="V145" s="30">
        <f>211633700</f>
        <v>211633700</v>
      </c>
      <c r="W145" s="30">
        <f>13255</f>
        <v>13255</v>
      </c>
      <c r="X145" s="34">
        <f>21</f>
        <v>21</v>
      </c>
    </row>
    <row r="146" spans="1:24">
      <c r="A146" s="25" t="s">
        <v>1246</v>
      </c>
      <c r="B146" s="25" t="s">
        <v>401</v>
      </c>
      <c r="C146" s="25" t="s">
        <v>402</v>
      </c>
      <c r="D146" s="25" t="s">
        <v>403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25275</f>
        <v>25275</v>
      </c>
      <c r="L146" s="32" t="s">
        <v>1116</v>
      </c>
      <c r="M146" s="31">
        <f>28255</f>
        <v>28255</v>
      </c>
      <c r="N146" s="32" t="s">
        <v>684</v>
      </c>
      <c r="O146" s="31">
        <f>23505</f>
        <v>23505</v>
      </c>
      <c r="P146" s="32" t="s">
        <v>680</v>
      </c>
      <c r="Q146" s="31">
        <f>24825</f>
        <v>24825</v>
      </c>
      <c r="R146" s="32" t="s">
        <v>777</v>
      </c>
      <c r="S146" s="33">
        <f>24334.38</f>
        <v>24334.38</v>
      </c>
      <c r="T146" s="30">
        <f>3181</f>
        <v>3181</v>
      </c>
      <c r="U146" s="30" t="str">
        <f>"－"</f>
        <v>－</v>
      </c>
      <c r="V146" s="30">
        <f>79782580</f>
        <v>79782580</v>
      </c>
      <c r="W146" s="30" t="str">
        <f>"－"</f>
        <v>－</v>
      </c>
      <c r="X146" s="34">
        <f>16</f>
        <v>16</v>
      </c>
    </row>
    <row r="147" spans="1:24">
      <c r="A147" s="25" t="s">
        <v>1246</v>
      </c>
      <c r="B147" s="25" t="s">
        <v>404</v>
      </c>
      <c r="C147" s="25" t="s">
        <v>405</v>
      </c>
      <c r="D147" s="25" t="s">
        <v>406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10</v>
      </c>
      <c r="K147" s="31">
        <f>55890</f>
        <v>55890</v>
      </c>
      <c r="L147" s="32" t="s">
        <v>1116</v>
      </c>
      <c r="M147" s="31">
        <f>57100</f>
        <v>57100</v>
      </c>
      <c r="N147" s="32" t="s">
        <v>777</v>
      </c>
      <c r="O147" s="31">
        <f>55300</f>
        <v>55300</v>
      </c>
      <c r="P147" s="32" t="s">
        <v>675</v>
      </c>
      <c r="Q147" s="31">
        <f>57100</f>
        <v>57100</v>
      </c>
      <c r="R147" s="32" t="s">
        <v>777</v>
      </c>
      <c r="S147" s="33">
        <f>56170.95</f>
        <v>56170.95</v>
      </c>
      <c r="T147" s="30">
        <f>2600</f>
        <v>2600</v>
      </c>
      <c r="U147" s="30">
        <f>10</f>
        <v>10</v>
      </c>
      <c r="V147" s="30">
        <f>146386300</f>
        <v>146386300</v>
      </c>
      <c r="W147" s="30">
        <f>560000</f>
        <v>560000</v>
      </c>
      <c r="X147" s="34">
        <f>21</f>
        <v>21</v>
      </c>
    </row>
    <row r="148" spans="1:24">
      <c r="A148" s="25" t="s">
        <v>1246</v>
      </c>
      <c r="B148" s="25" t="s">
        <v>407</v>
      </c>
      <c r="C148" s="25" t="s">
        <v>974</v>
      </c>
      <c r="D148" s="25" t="s">
        <v>408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358.8</f>
        <v>358.8</v>
      </c>
      <c r="L148" s="32" t="s">
        <v>1116</v>
      </c>
      <c r="M148" s="31">
        <f>374.2</f>
        <v>374.2</v>
      </c>
      <c r="N148" s="32" t="s">
        <v>760</v>
      </c>
      <c r="O148" s="31">
        <f>357.7</f>
        <v>357.7</v>
      </c>
      <c r="P148" s="32" t="s">
        <v>1116</v>
      </c>
      <c r="Q148" s="31">
        <f>366.1</f>
        <v>366.1</v>
      </c>
      <c r="R148" s="32" t="s">
        <v>777</v>
      </c>
      <c r="S148" s="33">
        <f>365.32</f>
        <v>365.32</v>
      </c>
      <c r="T148" s="30">
        <f>32563050</f>
        <v>32563050</v>
      </c>
      <c r="U148" s="30">
        <f>742300</f>
        <v>742300</v>
      </c>
      <c r="V148" s="30">
        <f>11901170389</f>
        <v>11901170389</v>
      </c>
      <c r="W148" s="30">
        <f>271545826</f>
        <v>271545826</v>
      </c>
      <c r="X148" s="34">
        <f>21</f>
        <v>21</v>
      </c>
    </row>
    <row r="149" spans="1:24">
      <c r="A149" s="25" t="s">
        <v>1246</v>
      </c>
      <c r="B149" s="25" t="s">
        <v>409</v>
      </c>
      <c r="C149" s="25" t="s">
        <v>975</v>
      </c>
      <c r="D149" s="25" t="s">
        <v>410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56740</f>
        <v>56740</v>
      </c>
      <c r="L149" s="32" t="s">
        <v>1116</v>
      </c>
      <c r="M149" s="31">
        <f>57080</f>
        <v>57080</v>
      </c>
      <c r="N149" s="32" t="s">
        <v>675</v>
      </c>
      <c r="O149" s="31">
        <f>53970</f>
        <v>53970</v>
      </c>
      <c r="P149" s="32" t="s">
        <v>680</v>
      </c>
      <c r="Q149" s="31">
        <f>55840</f>
        <v>55840</v>
      </c>
      <c r="R149" s="32" t="s">
        <v>777</v>
      </c>
      <c r="S149" s="33">
        <f>55501</f>
        <v>55501</v>
      </c>
      <c r="T149" s="30">
        <f>4730</f>
        <v>4730</v>
      </c>
      <c r="U149" s="30">
        <f>10</f>
        <v>10</v>
      </c>
      <c r="V149" s="30">
        <f>262197700</f>
        <v>262197700</v>
      </c>
      <c r="W149" s="30">
        <f>558400</f>
        <v>558400</v>
      </c>
      <c r="X149" s="34">
        <f>20</f>
        <v>20</v>
      </c>
    </row>
    <row r="150" spans="1:24">
      <c r="A150" s="25" t="s">
        <v>1246</v>
      </c>
      <c r="B150" s="25" t="s">
        <v>411</v>
      </c>
      <c r="C150" s="25" t="s">
        <v>412</v>
      </c>
      <c r="D150" s="25" t="s">
        <v>976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6142</f>
        <v>6142</v>
      </c>
      <c r="L150" s="32" t="s">
        <v>1116</v>
      </c>
      <c r="M150" s="31">
        <f>6450</f>
        <v>6450</v>
      </c>
      <c r="N150" s="32" t="s">
        <v>1111</v>
      </c>
      <c r="O150" s="31">
        <f>6138</f>
        <v>6138</v>
      </c>
      <c r="P150" s="32" t="s">
        <v>1116</v>
      </c>
      <c r="Q150" s="31">
        <f>6378</f>
        <v>6378</v>
      </c>
      <c r="R150" s="32" t="s">
        <v>777</v>
      </c>
      <c r="S150" s="33">
        <f>6271.52</f>
        <v>6271.52</v>
      </c>
      <c r="T150" s="30">
        <f>80210</f>
        <v>80210</v>
      </c>
      <c r="U150" s="30">
        <f>290</f>
        <v>290</v>
      </c>
      <c r="V150" s="30">
        <f>503933350</f>
        <v>503933350</v>
      </c>
      <c r="W150" s="30">
        <f>1825120</f>
        <v>1825120</v>
      </c>
      <c r="X150" s="34">
        <f>21</f>
        <v>21</v>
      </c>
    </row>
    <row r="151" spans="1:24">
      <c r="A151" s="25" t="s">
        <v>1246</v>
      </c>
      <c r="B151" s="25" t="s">
        <v>413</v>
      </c>
      <c r="C151" s="25" t="s">
        <v>977</v>
      </c>
      <c r="D151" s="25" t="s">
        <v>978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2070</f>
        <v>2070</v>
      </c>
      <c r="L151" s="32" t="s">
        <v>1116</v>
      </c>
      <c r="M151" s="31">
        <f>2167.5</f>
        <v>2167.5</v>
      </c>
      <c r="N151" s="32" t="s">
        <v>759</v>
      </c>
      <c r="O151" s="31">
        <f>2058</f>
        <v>2058</v>
      </c>
      <c r="P151" s="32" t="s">
        <v>1116</v>
      </c>
      <c r="Q151" s="31">
        <f>2141</f>
        <v>2141</v>
      </c>
      <c r="R151" s="32" t="s">
        <v>777</v>
      </c>
      <c r="S151" s="33">
        <f>2120.57</f>
        <v>2120.5700000000002</v>
      </c>
      <c r="T151" s="30">
        <f>108940</f>
        <v>108940</v>
      </c>
      <c r="U151" s="30">
        <f>4020</f>
        <v>4020</v>
      </c>
      <c r="V151" s="30">
        <f>232237070</f>
        <v>232237070</v>
      </c>
      <c r="W151" s="30">
        <f>8486420</f>
        <v>8486420</v>
      </c>
      <c r="X151" s="34">
        <f>21</f>
        <v>21</v>
      </c>
    </row>
    <row r="152" spans="1:24">
      <c r="A152" s="25" t="s">
        <v>1246</v>
      </c>
      <c r="B152" s="25" t="s">
        <v>417</v>
      </c>
      <c r="C152" s="25" t="s">
        <v>418</v>
      </c>
      <c r="D152" s="25" t="s">
        <v>419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1751.5</f>
        <v>1751.5</v>
      </c>
      <c r="L152" s="32" t="s">
        <v>1116</v>
      </c>
      <c r="M152" s="31">
        <f>1771.5</f>
        <v>1771.5</v>
      </c>
      <c r="N152" s="32" t="s">
        <v>1111</v>
      </c>
      <c r="O152" s="31">
        <f>1634.5</f>
        <v>1634.5</v>
      </c>
      <c r="P152" s="32" t="s">
        <v>674</v>
      </c>
      <c r="Q152" s="31">
        <f>1770</f>
        <v>1770</v>
      </c>
      <c r="R152" s="32" t="s">
        <v>777</v>
      </c>
      <c r="S152" s="33">
        <f>1713.64</f>
        <v>1713.64</v>
      </c>
      <c r="T152" s="30">
        <f>1800</f>
        <v>1800</v>
      </c>
      <c r="U152" s="30" t="str">
        <f>"－"</f>
        <v>－</v>
      </c>
      <c r="V152" s="30">
        <f>3070565</f>
        <v>3070565</v>
      </c>
      <c r="W152" s="30" t="str">
        <f>"－"</f>
        <v>－</v>
      </c>
      <c r="X152" s="34">
        <f>14</f>
        <v>14</v>
      </c>
    </row>
    <row r="153" spans="1:24">
      <c r="A153" s="25" t="s">
        <v>1246</v>
      </c>
      <c r="B153" s="25" t="s">
        <v>420</v>
      </c>
      <c r="C153" s="25" t="s">
        <v>421</v>
      </c>
      <c r="D153" s="25" t="s">
        <v>422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500.1</f>
        <v>500.1</v>
      </c>
      <c r="L153" s="32" t="s">
        <v>1116</v>
      </c>
      <c r="M153" s="31">
        <f>569.8</f>
        <v>569.79999999999995</v>
      </c>
      <c r="N153" s="32" t="s">
        <v>676</v>
      </c>
      <c r="O153" s="31">
        <f>493</f>
        <v>493</v>
      </c>
      <c r="P153" s="32" t="s">
        <v>1124</v>
      </c>
      <c r="Q153" s="31">
        <f>554.2</f>
        <v>554.20000000000005</v>
      </c>
      <c r="R153" s="32" t="s">
        <v>777</v>
      </c>
      <c r="S153" s="33">
        <f>519.99</f>
        <v>519.99</v>
      </c>
      <c r="T153" s="30">
        <f>28500</f>
        <v>28500</v>
      </c>
      <c r="U153" s="30">
        <f>10</f>
        <v>10</v>
      </c>
      <c r="V153" s="30">
        <f>14860072</f>
        <v>14860072</v>
      </c>
      <c r="W153" s="30">
        <f>5542</f>
        <v>5542</v>
      </c>
      <c r="X153" s="34">
        <f>21</f>
        <v>21</v>
      </c>
    </row>
    <row r="154" spans="1:24">
      <c r="A154" s="25" t="s">
        <v>1246</v>
      </c>
      <c r="B154" s="25" t="s">
        <v>423</v>
      </c>
      <c r="C154" s="25" t="s">
        <v>424</v>
      </c>
      <c r="D154" s="25" t="s">
        <v>425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2242</f>
        <v>2242</v>
      </c>
      <c r="L154" s="32" t="s">
        <v>1116</v>
      </c>
      <c r="M154" s="31">
        <f>2379.5</f>
        <v>2379.5</v>
      </c>
      <c r="N154" s="32" t="s">
        <v>684</v>
      </c>
      <c r="O154" s="31">
        <f>2240</f>
        <v>2240</v>
      </c>
      <c r="P154" s="32" t="s">
        <v>1145</v>
      </c>
      <c r="Q154" s="31">
        <f>2365.5</f>
        <v>2365.5</v>
      </c>
      <c r="R154" s="32" t="s">
        <v>777</v>
      </c>
      <c r="S154" s="33">
        <f>2330.67</f>
        <v>2330.67</v>
      </c>
      <c r="T154" s="30">
        <f>4120</f>
        <v>4120</v>
      </c>
      <c r="U154" s="30">
        <f>10</f>
        <v>10</v>
      </c>
      <c r="V154" s="30">
        <f>9514710</f>
        <v>9514710</v>
      </c>
      <c r="W154" s="30">
        <f>23655</f>
        <v>23655</v>
      </c>
      <c r="X154" s="34">
        <f>21</f>
        <v>21</v>
      </c>
    </row>
    <row r="155" spans="1:24">
      <c r="A155" s="25" t="s">
        <v>1246</v>
      </c>
      <c r="B155" s="25" t="s">
        <v>426</v>
      </c>
      <c r="C155" s="25" t="s">
        <v>427</v>
      </c>
      <c r="D155" s="25" t="s">
        <v>428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896.3</f>
        <v>896.3</v>
      </c>
      <c r="L155" s="32" t="s">
        <v>1116</v>
      </c>
      <c r="M155" s="31">
        <f>950</f>
        <v>950</v>
      </c>
      <c r="N155" s="32" t="s">
        <v>777</v>
      </c>
      <c r="O155" s="31">
        <f>880.1</f>
        <v>880.1</v>
      </c>
      <c r="P155" s="32" t="s">
        <v>1145</v>
      </c>
      <c r="Q155" s="31">
        <f>950</f>
        <v>950</v>
      </c>
      <c r="R155" s="32" t="s">
        <v>777</v>
      </c>
      <c r="S155" s="33">
        <f>921.87</f>
        <v>921.87</v>
      </c>
      <c r="T155" s="30">
        <f>29770</f>
        <v>29770</v>
      </c>
      <c r="U155" s="30">
        <f>10</f>
        <v>10</v>
      </c>
      <c r="V155" s="30">
        <f>27478073</f>
        <v>27478073</v>
      </c>
      <c r="W155" s="30">
        <f>9500</f>
        <v>9500</v>
      </c>
      <c r="X155" s="34">
        <f>21</f>
        <v>21</v>
      </c>
    </row>
    <row r="156" spans="1:24">
      <c r="A156" s="25" t="s">
        <v>1246</v>
      </c>
      <c r="B156" s="25" t="s">
        <v>429</v>
      </c>
      <c r="C156" s="25" t="s">
        <v>430</v>
      </c>
      <c r="D156" s="25" t="s">
        <v>431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506.1</f>
        <v>506.1</v>
      </c>
      <c r="L156" s="32" t="s">
        <v>1116</v>
      </c>
      <c r="M156" s="31">
        <f>549.7</f>
        <v>549.70000000000005</v>
      </c>
      <c r="N156" s="32" t="s">
        <v>777</v>
      </c>
      <c r="O156" s="31">
        <f>505.6</f>
        <v>505.6</v>
      </c>
      <c r="P156" s="32" t="s">
        <v>1145</v>
      </c>
      <c r="Q156" s="31">
        <f>548.7</f>
        <v>548.70000000000005</v>
      </c>
      <c r="R156" s="32" t="s">
        <v>777</v>
      </c>
      <c r="S156" s="33">
        <f>526.18</f>
        <v>526.17999999999995</v>
      </c>
      <c r="T156" s="30">
        <f>150670</f>
        <v>150670</v>
      </c>
      <c r="U156" s="30" t="str">
        <f>"－"</f>
        <v>－</v>
      </c>
      <c r="V156" s="30">
        <f>79261874</f>
        <v>79261874</v>
      </c>
      <c r="W156" s="30" t="str">
        <f>"－"</f>
        <v>－</v>
      </c>
      <c r="X156" s="34">
        <f>21</f>
        <v>21</v>
      </c>
    </row>
    <row r="157" spans="1:24">
      <c r="A157" s="25" t="s">
        <v>1246</v>
      </c>
      <c r="B157" s="25" t="s">
        <v>432</v>
      </c>
      <c r="C157" s="25" t="s">
        <v>433</v>
      </c>
      <c r="D157" s="25" t="s">
        <v>434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</v>
      </c>
      <c r="K157" s="31">
        <f>1021</f>
        <v>1021</v>
      </c>
      <c r="L157" s="32" t="s">
        <v>1116</v>
      </c>
      <c r="M157" s="31">
        <f>1270</f>
        <v>1270</v>
      </c>
      <c r="N157" s="32" t="s">
        <v>777</v>
      </c>
      <c r="O157" s="31">
        <f>969</f>
        <v>969</v>
      </c>
      <c r="P157" s="32" t="s">
        <v>675</v>
      </c>
      <c r="Q157" s="31">
        <f>1266</f>
        <v>1266</v>
      </c>
      <c r="R157" s="32" t="s">
        <v>777</v>
      </c>
      <c r="S157" s="33">
        <f>1084.67</f>
        <v>1084.67</v>
      </c>
      <c r="T157" s="30">
        <f>1234961</f>
        <v>1234961</v>
      </c>
      <c r="U157" s="30">
        <f>1</f>
        <v>1</v>
      </c>
      <c r="V157" s="30">
        <f>1373777727</f>
        <v>1373777727</v>
      </c>
      <c r="W157" s="30">
        <f>1266</f>
        <v>1266</v>
      </c>
      <c r="X157" s="34">
        <f>21</f>
        <v>21</v>
      </c>
    </row>
    <row r="158" spans="1:24">
      <c r="A158" s="25" t="s">
        <v>1246</v>
      </c>
      <c r="B158" s="25" t="s">
        <v>435</v>
      </c>
      <c r="C158" s="25" t="s">
        <v>436</v>
      </c>
      <c r="D158" s="25" t="s">
        <v>437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1421</f>
        <v>1421</v>
      </c>
      <c r="L158" s="32" t="s">
        <v>1116</v>
      </c>
      <c r="M158" s="31">
        <f>1541.5</f>
        <v>1541.5</v>
      </c>
      <c r="N158" s="32" t="s">
        <v>777</v>
      </c>
      <c r="O158" s="31">
        <f>1395.5</f>
        <v>1395.5</v>
      </c>
      <c r="P158" s="32" t="s">
        <v>876</v>
      </c>
      <c r="Q158" s="31">
        <f>1541.5</f>
        <v>1541.5</v>
      </c>
      <c r="R158" s="32" t="s">
        <v>777</v>
      </c>
      <c r="S158" s="33">
        <f>1471.57</f>
        <v>1471.57</v>
      </c>
      <c r="T158" s="30">
        <f>35060</f>
        <v>35060</v>
      </c>
      <c r="U158" s="30">
        <f>10</f>
        <v>10</v>
      </c>
      <c r="V158" s="30">
        <f>52106030</f>
        <v>52106030</v>
      </c>
      <c r="W158" s="30">
        <f>15415</f>
        <v>15415</v>
      </c>
      <c r="X158" s="34">
        <f>21</f>
        <v>21</v>
      </c>
    </row>
    <row r="159" spans="1:24">
      <c r="A159" s="25" t="s">
        <v>1246</v>
      </c>
      <c r="B159" s="25" t="s">
        <v>438</v>
      </c>
      <c r="C159" s="25" t="s">
        <v>439</v>
      </c>
      <c r="D159" s="25" t="s">
        <v>440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</v>
      </c>
      <c r="K159" s="31">
        <f>7439</f>
        <v>7439</v>
      </c>
      <c r="L159" s="32" t="s">
        <v>1116</v>
      </c>
      <c r="M159" s="31">
        <f>9399</f>
        <v>9399</v>
      </c>
      <c r="N159" s="32" t="s">
        <v>777</v>
      </c>
      <c r="O159" s="31">
        <f>7402</f>
        <v>7402</v>
      </c>
      <c r="P159" s="32" t="s">
        <v>1145</v>
      </c>
      <c r="Q159" s="31">
        <f>8126</f>
        <v>8126</v>
      </c>
      <c r="R159" s="32" t="s">
        <v>777</v>
      </c>
      <c r="S159" s="33">
        <f>7822.9</f>
        <v>7822.9</v>
      </c>
      <c r="T159" s="30">
        <f>3698</f>
        <v>3698</v>
      </c>
      <c r="U159" s="30" t="str">
        <f>"－"</f>
        <v>－</v>
      </c>
      <c r="V159" s="30">
        <f>29892247</f>
        <v>29892247</v>
      </c>
      <c r="W159" s="30" t="str">
        <f>"－"</f>
        <v>－</v>
      </c>
      <c r="X159" s="34">
        <f>21</f>
        <v>21</v>
      </c>
    </row>
    <row r="160" spans="1:24">
      <c r="A160" s="25" t="s">
        <v>1246</v>
      </c>
      <c r="B160" s="25" t="s">
        <v>441</v>
      </c>
      <c r="C160" s="25" t="s">
        <v>442</v>
      </c>
      <c r="D160" s="25" t="s">
        <v>443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100</v>
      </c>
      <c r="K160" s="31">
        <f>492.6</f>
        <v>492.6</v>
      </c>
      <c r="L160" s="32" t="s">
        <v>1116</v>
      </c>
      <c r="M160" s="31">
        <f>529.5</f>
        <v>529.5</v>
      </c>
      <c r="N160" s="32" t="s">
        <v>777</v>
      </c>
      <c r="O160" s="31">
        <f>489.1</f>
        <v>489.1</v>
      </c>
      <c r="P160" s="32" t="s">
        <v>680</v>
      </c>
      <c r="Q160" s="31">
        <f>522</f>
        <v>522</v>
      </c>
      <c r="R160" s="32" t="s">
        <v>777</v>
      </c>
      <c r="S160" s="33">
        <f>509.57</f>
        <v>509.57</v>
      </c>
      <c r="T160" s="30">
        <f>61600</f>
        <v>61600</v>
      </c>
      <c r="U160" s="30" t="str">
        <f>"－"</f>
        <v>－</v>
      </c>
      <c r="V160" s="30">
        <f>31351820</f>
        <v>31351820</v>
      </c>
      <c r="W160" s="30" t="str">
        <f>"－"</f>
        <v>－</v>
      </c>
      <c r="X160" s="34">
        <f>21</f>
        <v>21</v>
      </c>
    </row>
    <row r="161" spans="1:24">
      <c r="A161" s="25" t="s">
        <v>1246</v>
      </c>
      <c r="B161" s="25" t="s">
        <v>444</v>
      </c>
      <c r="C161" s="25" t="s">
        <v>445</v>
      </c>
      <c r="D161" s="25" t="s">
        <v>446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</v>
      </c>
      <c r="K161" s="31">
        <f>5541</f>
        <v>5541</v>
      </c>
      <c r="L161" s="32" t="s">
        <v>1116</v>
      </c>
      <c r="M161" s="31">
        <f>5899</f>
        <v>5899</v>
      </c>
      <c r="N161" s="32" t="s">
        <v>777</v>
      </c>
      <c r="O161" s="31">
        <f>5512</f>
        <v>5512</v>
      </c>
      <c r="P161" s="32" t="s">
        <v>1116</v>
      </c>
      <c r="Q161" s="31">
        <f>5872</f>
        <v>5872</v>
      </c>
      <c r="R161" s="32" t="s">
        <v>777</v>
      </c>
      <c r="S161" s="33">
        <f>5735.57</f>
        <v>5735.57</v>
      </c>
      <c r="T161" s="30">
        <f>49800</f>
        <v>49800</v>
      </c>
      <c r="U161" s="30" t="str">
        <f>"－"</f>
        <v>－</v>
      </c>
      <c r="V161" s="30">
        <f>284901870</f>
        <v>284901870</v>
      </c>
      <c r="W161" s="30" t="str">
        <f>"－"</f>
        <v>－</v>
      </c>
      <c r="X161" s="34">
        <f>21</f>
        <v>21</v>
      </c>
    </row>
    <row r="162" spans="1:24">
      <c r="A162" s="25" t="s">
        <v>1246</v>
      </c>
      <c r="B162" s="25" t="s">
        <v>447</v>
      </c>
      <c r="C162" s="25" t="s">
        <v>448</v>
      </c>
      <c r="D162" s="25" t="s">
        <v>449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2159.5</f>
        <v>2159.5</v>
      </c>
      <c r="L162" s="32" t="s">
        <v>1116</v>
      </c>
      <c r="M162" s="31">
        <f>2242</f>
        <v>2242</v>
      </c>
      <c r="N162" s="32" t="s">
        <v>1123</v>
      </c>
      <c r="O162" s="31">
        <f>2121.5</f>
        <v>2121.5</v>
      </c>
      <c r="P162" s="32" t="s">
        <v>679</v>
      </c>
      <c r="Q162" s="31">
        <f>2177.5</f>
        <v>2177.5</v>
      </c>
      <c r="R162" s="32" t="s">
        <v>777</v>
      </c>
      <c r="S162" s="33">
        <f>2178</f>
        <v>2178</v>
      </c>
      <c r="T162" s="30">
        <f>15920</f>
        <v>15920</v>
      </c>
      <c r="U162" s="30">
        <f>10</f>
        <v>10</v>
      </c>
      <c r="V162" s="30">
        <f>34563755</f>
        <v>34563755</v>
      </c>
      <c r="W162" s="30">
        <f>21775</f>
        <v>21775</v>
      </c>
      <c r="X162" s="34">
        <f>21</f>
        <v>21</v>
      </c>
    </row>
    <row r="163" spans="1:24">
      <c r="A163" s="25" t="s">
        <v>1246</v>
      </c>
      <c r="B163" s="25" t="s">
        <v>450</v>
      </c>
      <c r="C163" s="25" t="s">
        <v>451</v>
      </c>
      <c r="D163" s="25" t="s">
        <v>452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</v>
      </c>
      <c r="K163" s="31">
        <f>3085</f>
        <v>3085</v>
      </c>
      <c r="L163" s="32" t="s">
        <v>1116</v>
      </c>
      <c r="M163" s="31">
        <f>3265</f>
        <v>3265</v>
      </c>
      <c r="N163" s="32" t="s">
        <v>777</v>
      </c>
      <c r="O163" s="31">
        <f>3070</f>
        <v>3070</v>
      </c>
      <c r="P163" s="32" t="s">
        <v>1116</v>
      </c>
      <c r="Q163" s="31">
        <f>3255</f>
        <v>3255</v>
      </c>
      <c r="R163" s="32" t="s">
        <v>777</v>
      </c>
      <c r="S163" s="33">
        <f>3155.71</f>
        <v>3155.71</v>
      </c>
      <c r="T163" s="30">
        <f>201705</f>
        <v>201705</v>
      </c>
      <c r="U163" s="30">
        <f>100</f>
        <v>100</v>
      </c>
      <c r="V163" s="30">
        <f>637739175</f>
        <v>637739175</v>
      </c>
      <c r="W163" s="30">
        <f>312500</f>
        <v>312500</v>
      </c>
      <c r="X163" s="34">
        <f>21</f>
        <v>21</v>
      </c>
    </row>
    <row r="164" spans="1:24">
      <c r="A164" s="25" t="s">
        <v>1246</v>
      </c>
      <c r="B164" s="25" t="s">
        <v>453</v>
      </c>
      <c r="C164" s="25" t="s">
        <v>454</v>
      </c>
      <c r="D164" s="25" t="s">
        <v>455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3030</f>
        <v>3030</v>
      </c>
      <c r="L164" s="32" t="s">
        <v>1116</v>
      </c>
      <c r="M164" s="31">
        <f>3300</f>
        <v>3300</v>
      </c>
      <c r="N164" s="32" t="s">
        <v>777</v>
      </c>
      <c r="O164" s="31">
        <f>2950</f>
        <v>2950</v>
      </c>
      <c r="P164" s="32" t="s">
        <v>674</v>
      </c>
      <c r="Q164" s="31">
        <f>3300</f>
        <v>3300</v>
      </c>
      <c r="R164" s="32" t="s">
        <v>777</v>
      </c>
      <c r="S164" s="33">
        <f>3118.1</f>
        <v>3118.1</v>
      </c>
      <c r="T164" s="30">
        <f>28400</f>
        <v>28400</v>
      </c>
      <c r="U164" s="30" t="str">
        <f>"－"</f>
        <v>－</v>
      </c>
      <c r="V164" s="30">
        <f>88971048</f>
        <v>88971048</v>
      </c>
      <c r="W164" s="30" t="str">
        <f>"－"</f>
        <v>－</v>
      </c>
      <c r="X164" s="34">
        <f>21</f>
        <v>21</v>
      </c>
    </row>
    <row r="165" spans="1:24">
      <c r="A165" s="25" t="s">
        <v>1246</v>
      </c>
      <c r="B165" s="25" t="s">
        <v>456</v>
      </c>
      <c r="C165" s="25" t="s">
        <v>457</v>
      </c>
      <c r="D165" s="25" t="s">
        <v>458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10</v>
      </c>
      <c r="K165" s="31">
        <f>3697</f>
        <v>3697</v>
      </c>
      <c r="L165" s="32" t="s">
        <v>1116</v>
      </c>
      <c r="M165" s="31">
        <f>3842</f>
        <v>3842</v>
      </c>
      <c r="N165" s="32" t="s">
        <v>777</v>
      </c>
      <c r="O165" s="31">
        <f>3585</f>
        <v>3585</v>
      </c>
      <c r="P165" s="32" t="s">
        <v>680</v>
      </c>
      <c r="Q165" s="31">
        <f>3827</f>
        <v>3827</v>
      </c>
      <c r="R165" s="32" t="s">
        <v>777</v>
      </c>
      <c r="S165" s="33">
        <f>3707.48</f>
        <v>3707.48</v>
      </c>
      <c r="T165" s="30">
        <f>13950</f>
        <v>13950</v>
      </c>
      <c r="U165" s="30" t="str">
        <f>"－"</f>
        <v>－</v>
      </c>
      <c r="V165" s="30">
        <f>51703780</f>
        <v>51703780</v>
      </c>
      <c r="W165" s="30" t="str">
        <f>"－"</f>
        <v>－</v>
      </c>
      <c r="X165" s="34">
        <f>21</f>
        <v>21</v>
      </c>
    </row>
    <row r="166" spans="1:24">
      <c r="A166" s="25" t="s">
        <v>1246</v>
      </c>
      <c r="B166" s="25" t="s">
        <v>459</v>
      </c>
      <c r="C166" s="25" t="s">
        <v>460</v>
      </c>
      <c r="D166" s="25" t="s">
        <v>979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2955.5</f>
        <v>2955.5</v>
      </c>
      <c r="L166" s="32" t="s">
        <v>1116</v>
      </c>
      <c r="M166" s="31">
        <f>3061</f>
        <v>3061</v>
      </c>
      <c r="N166" s="32" t="s">
        <v>777</v>
      </c>
      <c r="O166" s="31">
        <f>2920</f>
        <v>2920</v>
      </c>
      <c r="P166" s="32" t="s">
        <v>680</v>
      </c>
      <c r="Q166" s="31">
        <f>3042</f>
        <v>3042</v>
      </c>
      <c r="R166" s="32" t="s">
        <v>777</v>
      </c>
      <c r="S166" s="33">
        <f>2982.02</f>
        <v>2982.02</v>
      </c>
      <c r="T166" s="30">
        <f>347030</f>
        <v>347030</v>
      </c>
      <c r="U166" s="30">
        <f>169850</f>
        <v>169850</v>
      </c>
      <c r="V166" s="30">
        <f>1035875391</f>
        <v>1035875391</v>
      </c>
      <c r="W166" s="30">
        <f>506487541</f>
        <v>506487541</v>
      </c>
      <c r="X166" s="34">
        <f>21</f>
        <v>21</v>
      </c>
    </row>
    <row r="167" spans="1:24">
      <c r="A167" s="25" t="s">
        <v>1246</v>
      </c>
      <c r="B167" s="25" t="s">
        <v>461</v>
      </c>
      <c r="C167" s="25" t="s">
        <v>980</v>
      </c>
      <c r="D167" s="25" t="s">
        <v>981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390</f>
        <v>390</v>
      </c>
      <c r="L167" s="32" t="s">
        <v>1116</v>
      </c>
      <c r="M167" s="31">
        <f>425.9</f>
        <v>425.9</v>
      </c>
      <c r="N167" s="32" t="s">
        <v>777</v>
      </c>
      <c r="O167" s="31">
        <f>384.6</f>
        <v>384.6</v>
      </c>
      <c r="P167" s="32" t="s">
        <v>876</v>
      </c>
      <c r="Q167" s="31">
        <f>425.6</f>
        <v>425.6</v>
      </c>
      <c r="R167" s="32" t="s">
        <v>777</v>
      </c>
      <c r="S167" s="33">
        <f>406.63</f>
        <v>406.63</v>
      </c>
      <c r="T167" s="30">
        <f>33779480</f>
        <v>33779480</v>
      </c>
      <c r="U167" s="30">
        <f>21757260</f>
        <v>21757260</v>
      </c>
      <c r="V167" s="30">
        <f>13655731647</f>
        <v>13655731647</v>
      </c>
      <c r="W167" s="30">
        <f>8783871806</f>
        <v>8783871806</v>
      </c>
      <c r="X167" s="34">
        <f>21</f>
        <v>21</v>
      </c>
    </row>
    <row r="168" spans="1:24">
      <c r="A168" s="25" t="s">
        <v>1246</v>
      </c>
      <c r="B168" s="25" t="s">
        <v>1132</v>
      </c>
      <c r="C168" s="25" t="s">
        <v>1131</v>
      </c>
      <c r="D168" s="25" t="s">
        <v>1130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</v>
      </c>
      <c r="K168" s="31">
        <f>1967</f>
        <v>1967</v>
      </c>
      <c r="L168" s="32" t="s">
        <v>1116</v>
      </c>
      <c r="M168" s="31">
        <f>2061</f>
        <v>2061</v>
      </c>
      <c r="N168" s="32" t="s">
        <v>777</v>
      </c>
      <c r="O168" s="31">
        <f>1953</f>
        <v>1953</v>
      </c>
      <c r="P168" s="32" t="s">
        <v>680</v>
      </c>
      <c r="Q168" s="31">
        <f>2041</f>
        <v>2041</v>
      </c>
      <c r="R168" s="32" t="s">
        <v>777</v>
      </c>
      <c r="S168" s="33">
        <f>2000.43</f>
        <v>2000.43</v>
      </c>
      <c r="T168" s="30">
        <f>50093</f>
        <v>50093</v>
      </c>
      <c r="U168" s="30" t="str">
        <f>"－"</f>
        <v>－</v>
      </c>
      <c r="V168" s="30">
        <f>101036004</f>
        <v>101036004</v>
      </c>
      <c r="W168" s="30" t="str">
        <f>"－"</f>
        <v>－</v>
      </c>
      <c r="X168" s="34">
        <f>21</f>
        <v>21</v>
      </c>
    </row>
    <row r="169" spans="1:24">
      <c r="A169" s="25" t="s">
        <v>1246</v>
      </c>
      <c r="B169" s="25" t="s">
        <v>1147</v>
      </c>
      <c r="C169" s="25" t="s">
        <v>1148</v>
      </c>
      <c r="D169" s="25" t="s">
        <v>1149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</v>
      </c>
      <c r="K169" s="31">
        <f>1129</f>
        <v>1129</v>
      </c>
      <c r="L169" s="32" t="s">
        <v>1116</v>
      </c>
      <c r="M169" s="31">
        <f>1264</f>
        <v>1264</v>
      </c>
      <c r="N169" s="32" t="s">
        <v>676</v>
      </c>
      <c r="O169" s="31">
        <f>1129</f>
        <v>1129</v>
      </c>
      <c r="P169" s="32" t="s">
        <v>1116</v>
      </c>
      <c r="Q169" s="31">
        <f>1247</f>
        <v>1247</v>
      </c>
      <c r="R169" s="32" t="s">
        <v>777</v>
      </c>
      <c r="S169" s="33">
        <f>1209.05</f>
        <v>1209.05</v>
      </c>
      <c r="T169" s="30">
        <f>1595286</f>
        <v>1595286</v>
      </c>
      <c r="U169" s="30">
        <f>81824</f>
        <v>81824</v>
      </c>
      <c r="V169" s="30">
        <f>1935314080</f>
        <v>1935314080</v>
      </c>
      <c r="W169" s="30">
        <f>100298510</f>
        <v>100298510</v>
      </c>
      <c r="X169" s="34">
        <f>21</f>
        <v>21</v>
      </c>
    </row>
    <row r="170" spans="1:24">
      <c r="A170" s="25" t="s">
        <v>1246</v>
      </c>
      <c r="B170" s="25" t="s">
        <v>1151</v>
      </c>
      <c r="C170" s="25" t="s">
        <v>1152</v>
      </c>
      <c r="D170" s="25" t="s">
        <v>1153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296.5</f>
        <v>296.5</v>
      </c>
      <c r="L170" s="32" t="s">
        <v>1116</v>
      </c>
      <c r="M170" s="31">
        <f>299</f>
        <v>299</v>
      </c>
      <c r="N170" s="32" t="s">
        <v>876</v>
      </c>
      <c r="O170" s="31">
        <f>273.2</f>
        <v>273.2</v>
      </c>
      <c r="P170" s="32" t="s">
        <v>777</v>
      </c>
      <c r="Q170" s="31">
        <f>274.3</f>
        <v>274.3</v>
      </c>
      <c r="R170" s="32" t="s">
        <v>777</v>
      </c>
      <c r="S170" s="33">
        <f>286.33</f>
        <v>286.33</v>
      </c>
      <c r="T170" s="30">
        <f>8797680</f>
        <v>8797680</v>
      </c>
      <c r="U170" s="30">
        <f>4370030</f>
        <v>4370030</v>
      </c>
      <c r="V170" s="30">
        <f>2477568521</f>
        <v>2477568521</v>
      </c>
      <c r="W170" s="30">
        <f>1215441624</f>
        <v>1215441624</v>
      </c>
      <c r="X170" s="34">
        <f>21</f>
        <v>21</v>
      </c>
    </row>
    <row r="171" spans="1:24">
      <c r="A171" s="25" t="s">
        <v>1246</v>
      </c>
      <c r="B171" s="25" t="s">
        <v>1154</v>
      </c>
      <c r="C171" s="25" t="s">
        <v>1155</v>
      </c>
      <c r="D171" s="25" t="s">
        <v>1156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305.5</f>
        <v>305.5</v>
      </c>
      <c r="L171" s="32" t="s">
        <v>1116</v>
      </c>
      <c r="M171" s="31">
        <f>307.4</f>
        <v>307.39999999999998</v>
      </c>
      <c r="N171" s="32" t="s">
        <v>876</v>
      </c>
      <c r="O171" s="31">
        <f>297</f>
        <v>297</v>
      </c>
      <c r="P171" s="32" t="s">
        <v>777</v>
      </c>
      <c r="Q171" s="31">
        <f>298.2</f>
        <v>298.2</v>
      </c>
      <c r="R171" s="32" t="s">
        <v>777</v>
      </c>
      <c r="S171" s="33">
        <f>301.98</f>
        <v>301.98</v>
      </c>
      <c r="T171" s="30">
        <f>2034710</f>
        <v>2034710</v>
      </c>
      <c r="U171" s="30">
        <f>116630</f>
        <v>116630</v>
      </c>
      <c r="V171" s="30">
        <f>612006678</f>
        <v>612006678</v>
      </c>
      <c r="W171" s="30">
        <f>34996925</f>
        <v>34996925</v>
      </c>
      <c r="X171" s="34">
        <f>21</f>
        <v>21</v>
      </c>
    </row>
    <row r="172" spans="1:24">
      <c r="A172" s="25" t="s">
        <v>1246</v>
      </c>
      <c r="B172" s="25" t="s">
        <v>1157</v>
      </c>
      <c r="C172" s="25" t="s">
        <v>1158</v>
      </c>
      <c r="D172" s="25" t="s">
        <v>1159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494.2</f>
        <v>494.2</v>
      </c>
      <c r="L172" s="32" t="s">
        <v>1116</v>
      </c>
      <c r="M172" s="31">
        <f>520.6</f>
        <v>520.6</v>
      </c>
      <c r="N172" s="32" t="s">
        <v>777</v>
      </c>
      <c r="O172" s="31">
        <f>478.2</f>
        <v>478.2</v>
      </c>
      <c r="P172" s="32" t="s">
        <v>1116</v>
      </c>
      <c r="Q172" s="31">
        <f>520.2</f>
        <v>520.20000000000005</v>
      </c>
      <c r="R172" s="32" t="s">
        <v>777</v>
      </c>
      <c r="S172" s="33">
        <f>503.08</f>
        <v>503.08</v>
      </c>
      <c r="T172" s="30">
        <f>12350</f>
        <v>12350</v>
      </c>
      <c r="U172" s="30" t="str">
        <f>"－"</f>
        <v>－</v>
      </c>
      <c r="V172" s="30">
        <f>6372714</f>
        <v>6372714</v>
      </c>
      <c r="W172" s="30" t="str">
        <f>"－"</f>
        <v>－</v>
      </c>
      <c r="X172" s="34">
        <f>18</f>
        <v>18</v>
      </c>
    </row>
    <row r="173" spans="1:24">
      <c r="A173" s="25" t="s">
        <v>1246</v>
      </c>
      <c r="B173" s="25" t="s">
        <v>1161</v>
      </c>
      <c r="C173" s="25" t="s">
        <v>1162</v>
      </c>
      <c r="D173" s="25" t="s">
        <v>1163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522.5</f>
        <v>522.5</v>
      </c>
      <c r="L173" s="32" t="s">
        <v>1116</v>
      </c>
      <c r="M173" s="31">
        <f>601</f>
        <v>601</v>
      </c>
      <c r="N173" s="32" t="s">
        <v>760</v>
      </c>
      <c r="O173" s="31">
        <f>494.6</f>
        <v>494.6</v>
      </c>
      <c r="P173" s="32" t="s">
        <v>674</v>
      </c>
      <c r="Q173" s="31">
        <f>509.7</f>
        <v>509.7</v>
      </c>
      <c r="R173" s="32" t="s">
        <v>777</v>
      </c>
      <c r="S173" s="33">
        <f>517.67</f>
        <v>517.66999999999996</v>
      </c>
      <c r="T173" s="30">
        <f>7060</f>
        <v>7060</v>
      </c>
      <c r="U173" s="30" t="str">
        <f>"－"</f>
        <v>－</v>
      </c>
      <c r="V173" s="30">
        <f>3673193</f>
        <v>3673193</v>
      </c>
      <c r="W173" s="30" t="str">
        <f>"－"</f>
        <v>－</v>
      </c>
      <c r="X173" s="34">
        <f>20</f>
        <v>20</v>
      </c>
    </row>
    <row r="174" spans="1:24">
      <c r="A174" s="25" t="s">
        <v>1246</v>
      </c>
      <c r="B174" s="25" t="s">
        <v>1164</v>
      </c>
      <c r="C174" s="25" t="s">
        <v>1165</v>
      </c>
      <c r="D174" s="25" t="s">
        <v>1166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514.9</f>
        <v>514.9</v>
      </c>
      <c r="L174" s="32" t="s">
        <v>1116</v>
      </c>
      <c r="M174" s="31">
        <f>531</f>
        <v>531</v>
      </c>
      <c r="N174" s="32" t="s">
        <v>759</v>
      </c>
      <c r="O174" s="31">
        <f>469.7</f>
        <v>469.7</v>
      </c>
      <c r="P174" s="32" t="s">
        <v>683</v>
      </c>
      <c r="Q174" s="31">
        <f>481</f>
        <v>481</v>
      </c>
      <c r="R174" s="32" t="s">
        <v>777</v>
      </c>
      <c r="S174" s="33">
        <f>504.07</f>
        <v>504.07</v>
      </c>
      <c r="T174" s="30">
        <f>2888980</f>
        <v>2888980</v>
      </c>
      <c r="U174" s="30">
        <f>2620040</f>
        <v>2620040</v>
      </c>
      <c r="V174" s="30">
        <f>1419005568</f>
        <v>1419005568</v>
      </c>
      <c r="W174" s="30">
        <f>1284079632</f>
        <v>1284079632</v>
      </c>
      <c r="X174" s="34">
        <f>21</f>
        <v>21</v>
      </c>
    </row>
    <row r="175" spans="1:24">
      <c r="A175" s="25" t="s">
        <v>1246</v>
      </c>
      <c r="B175" s="25" t="s">
        <v>1168</v>
      </c>
      <c r="C175" s="25" t="s">
        <v>1169</v>
      </c>
      <c r="D175" s="25" t="s">
        <v>1170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</v>
      </c>
      <c r="K175" s="31">
        <f>973</f>
        <v>973</v>
      </c>
      <c r="L175" s="32" t="s">
        <v>1116</v>
      </c>
      <c r="M175" s="31">
        <f>1011</f>
        <v>1011</v>
      </c>
      <c r="N175" s="32" t="s">
        <v>760</v>
      </c>
      <c r="O175" s="31">
        <f>973</f>
        <v>973</v>
      </c>
      <c r="P175" s="32" t="s">
        <v>1116</v>
      </c>
      <c r="Q175" s="31">
        <f>997</f>
        <v>997</v>
      </c>
      <c r="R175" s="32" t="s">
        <v>777</v>
      </c>
      <c r="S175" s="33">
        <f>991.52</f>
        <v>991.52</v>
      </c>
      <c r="T175" s="30">
        <f>733820</f>
        <v>733820</v>
      </c>
      <c r="U175" s="30">
        <f>21</f>
        <v>21</v>
      </c>
      <c r="V175" s="30">
        <f>726838303</f>
        <v>726838303</v>
      </c>
      <c r="W175" s="30">
        <f>20984</f>
        <v>20984</v>
      </c>
      <c r="X175" s="34">
        <f>21</f>
        <v>21</v>
      </c>
    </row>
    <row r="176" spans="1:24">
      <c r="A176" s="25" t="s">
        <v>1246</v>
      </c>
      <c r="B176" s="25" t="s">
        <v>1173</v>
      </c>
      <c r="C176" s="25" t="s">
        <v>1174</v>
      </c>
      <c r="D176" s="25" t="s">
        <v>1175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1574</f>
        <v>1574</v>
      </c>
      <c r="L176" s="32" t="s">
        <v>1116</v>
      </c>
      <c r="M176" s="31">
        <f>1655</f>
        <v>1655</v>
      </c>
      <c r="N176" s="32" t="s">
        <v>675</v>
      </c>
      <c r="O176" s="31">
        <f>1550</f>
        <v>1550</v>
      </c>
      <c r="P176" s="32" t="s">
        <v>680</v>
      </c>
      <c r="Q176" s="31">
        <f>1623</f>
        <v>1623</v>
      </c>
      <c r="R176" s="32" t="s">
        <v>777</v>
      </c>
      <c r="S176" s="33">
        <f>1607.38</f>
        <v>1607.38</v>
      </c>
      <c r="T176" s="30">
        <f>2227422</f>
        <v>2227422</v>
      </c>
      <c r="U176" s="30">
        <f>229606</f>
        <v>229606</v>
      </c>
      <c r="V176" s="30">
        <f>3587538105</f>
        <v>3587538105</v>
      </c>
      <c r="W176" s="30">
        <f>370998662</f>
        <v>370998662</v>
      </c>
      <c r="X176" s="34">
        <f>21</f>
        <v>21</v>
      </c>
    </row>
    <row r="177" spans="1:24">
      <c r="A177" s="25" t="s">
        <v>1246</v>
      </c>
      <c r="B177" s="25" t="s">
        <v>1054</v>
      </c>
      <c r="C177" s="25" t="s">
        <v>1055</v>
      </c>
      <c r="D177" s="25" t="s">
        <v>1056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10</v>
      </c>
      <c r="K177" s="31">
        <f>572.4</f>
        <v>572.4</v>
      </c>
      <c r="L177" s="32" t="s">
        <v>1116</v>
      </c>
      <c r="M177" s="31">
        <f>591</f>
        <v>591</v>
      </c>
      <c r="N177" s="32" t="s">
        <v>777</v>
      </c>
      <c r="O177" s="31">
        <f>568</f>
        <v>568</v>
      </c>
      <c r="P177" s="32" t="s">
        <v>680</v>
      </c>
      <c r="Q177" s="31">
        <f>587.5</f>
        <v>587.5</v>
      </c>
      <c r="R177" s="32" t="s">
        <v>777</v>
      </c>
      <c r="S177" s="33">
        <f>577.21</f>
        <v>577.21</v>
      </c>
      <c r="T177" s="30">
        <f>1194140</f>
        <v>1194140</v>
      </c>
      <c r="U177" s="30">
        <f>34320</f>
        <v>34320</v>
      </c>
      <c r="V177" s="30">
        <f>691026588</f>
        <v>691026588</v>
      </c>
      <c r="W177" s="30">
        <f>20173490</f>
        <v>20173490</v>
      </c>
      <c r="X177" s="34">
        <f>21</f>
        <v>21</v>
      </c>
    </row>
    <row r="178" spans="1:24">
      <c r="A178" s="25" t="s">
        <v>1246</v>
      </c>
      <c r="B178" s="25" t="s">
        <v>1083</v>
      </c>
      <c r="C178" s="25" t="s">
        <v>1084</v>
      </c>
      <c r="D178" s="25" t="s">
        <v>1085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216</f>
        <v>216</v>
      </c>
      <c r="L178" s="32" t="s">
        <v>1116</v>
      </c>
      <c r="M178" s="31">
        <f>225.9</f>
        <v>225.9</v>
      </c>
      <c r="N178" s="32" t="s">
        <v>679</v>
      </c>
      <c r="O178" s="31">
        <f>213</f>
        <v>213</v>
      </c>
      <c r="P178" s="32" t="s">
        <v>1116</v>
      </c>
      <c r="Q178" s="31">
        <f>225.6</f>
        <v>225.6</v>
      </c>
      <c r="R178" s="32" t="s">
        <v>777</v>
      </c>
      <c r="S178" s="33">
        <f>218.99</f>
        <v>218.99</v>
      </c>
      <c r="T178" s="30">
        <f>24233880</f>
        <v>24233880</v>
      </c>
      <c r="U178" s="30">
        <f>22500030</f>
        <v>22500030</v>
      </c>
      <c r="V178" s="30">
        <f>5358572393</f>
        <v>5358572393</v>
      </c>
      <c r="W178" s="30">
        <f>4977837018</f>
        <v>4977837018</v>
      </c>
      <c r="X178" s="34">
        <f>21</f>
        <v>21</v>
      </c>
    </row>
    <row r="179" spans="1:24">
      <c r="A179" s="25" t="s">
        <v>1246</v>
      </c>
      <c r="B179" s="25" t="s">
        <v>1087</v>
      </c>
      <c r="C179" s="25" t="s">
        <v>1088</v>
      </c>
      <c r="D179" s="25" t="s">
        <v>1089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242.8</f>
        <v>242.8</v>
      </c>
      <c r="L179" s="32" t="s">
        <v>1116</v>
      </c>
      <c r="M179" s="31">
        <f>243.8</f>
        <v>243.8</v>
      </c>
      <c r="N179" s="32" t="s">
        <v>1116</v>
      </c>
      <c r="O179" s="31">
        <f>230.9</f>
        <v>230.9</v>
      </c>
      <c r="P179" s="32" t="s">
        <v>680</v>
      </c>
      <c r="Q179" s="31">
        <f>238.9</f>
        <v>238.9</v>
      </c>
      <c r="R179" s="32" t="s">
        <v>777</v>
      </c>
      <c r="S179" s="33">
        <f>237.88</f>
        <v>237.88</v>
      </c>
      <c r="T179" s="30">
        <f>5227770</f>
        <v>5227770</v>
      </c>
      <c r="U179" s="30">
        <f>201470</f>
        <v>201470</v>
      </c>
      <c r="V179" s="30">
        <f>1238144606</f>
        <v>1238144606</v>
      </c>
      <c r="W179" s="30">
        <f>47849732</f>
        <v>47849732</v>
      </c>
      <c r="X179" s="34">
        <f>21</f>
        <v>21</v>
      </c>
    </row>
    <row r="180" spans="1:24">
      <c r="A180" s="25" t="s">
        <v>1246</v>
      </c>
      <c r="B180" s="25" t="s">
        <v>1090</v>
      </c>
      <c r="C180" s="25" t="s">
        <v>1091</v>
      </c>
      <c r="D180" s="25" t="s">
        <v>1092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248.1</f>
        <v>248.1</v>
      </c>
      <c r="L180" s="32" t="s">
        <v>1116</v>
      </c>
      <c r="M180" s="31">
        <f>251.8</f>
        <v>251.8</v>
      </c>
      <c r="N180" s="32" t="s">
        <v>1111</v>
      </c>
      <c r="O180" s="31">
        <f>240.1</f>
        <v>240.1</v>
      </c>
      <c r="P180" s="32" t="s">
        <v>680</v>
      </c>
      <c r="Q180" s="31">
        <f>249.6</f>
        <v>249.6</v>
      </c>
      <c r="R180" s="32" t="s">
        <v>777</v>
      </c>
      <c r="S180" s="33">
        <f>246.94</f>
        <v>246.94</v>
      </c>
      <c r="T180" s="30">
        <f>11677540</f>
        <v>11677540</v>
      </c>
      <c r="U180" s="30">
        <f>4032050</f>
        <v>4032050</v>
      </c>
      <c r="V180" s="30">
        <f>2871291514</f>
        <v>2871291514</v>
      </c>
      <c r="W180" s="30">
        <f>986002267</f>
        <v>986002267</v>
      </c>
      <c r="X180" s="34">
        <f>21</f>
        <v>21</v>
      </c>
    </row>
    <row r="181" spans="1:24">
      <c r="A181" s="25" t="s">
        <v>1246</v>
      </c>
      <c r="B181" s="25" t="s">
        <v>1093</v>
      </c>
      <c r="C181" s="25" t="s">
        <v>1094</v>
      </c>
      <c r="D181" s="25" t="s">
        <v>1095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</v>
      </c>
      <c r="K181" s="31">
        <f>2050</f>
        <v>2050</v>
      </c>
      <c r="L181" s="32" t="s">
        <v>1116</v>
      </c>
      <c r="M181" s="31">
        <f>2104</f>
        <v>2104</v>
      </c>
      <c r="N181" s="32" t="s">
        <v>1111</v>
      </c>
      <c r="O181" s="31">
        <f>2037</f>
        <v>2037</v>
      </c>
      <c r="P181" s="32" t="s">
        <v>675</v>
      </c>
      <c r="Q181" s="31">
        <f>2094</f>
        <v>2094</v>
      </c>
      <c r="R181" s="32" t="s">
        <v>777</v>
      </c>
      <c r="S181" s="33">
        <f>2071.1</f>
        <v>2071.1</v>
      </c>
      <c r="T181" s="30">
        <f>244967</f>
        <v>244967</v>
      </c>
      <c r="U181" s="30">
        <f>2</f>
        <v>2</v>
      </c>
      <c r="V181" s="30">
        <f>510006163</f>
        <v>510006163</v>
      </c>
      <c r="W181" s="30">
        <f>4195</f>
        <v>4195</v>
      </c>
      <c r="X181" s="34">
        <f>21</f>
        <v>21</v>
      </c>
    </row>
    <row r="182" spans="1:24">
      <c r="A182" s="25" t="s">
        <v>1246</v>
      </c>
      <c r="B182" s="25" t="s">
        <v>1096</v>
      </c>
      <c r="C182" s="25" t="s">
        <v>1097</v>
      </c>
      <c r="D182" s="25" t="s">
        <v>1098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1914</f>
        <v>1914</v>
      </c>
      <c r="L182" s="32" t="s">
        <v>1116</v>
      </c>
      <c r="M182" s="31">
        <f>1926</f>
        <v>1926</v>
      </c>
      <c r="N182" s="32" t="s">
        <v>876</v>
      </c>
      <c r="O182" s="31">
        <f>1854</f>
        <v>1854</v>
      </c>
      <c r="P182" s="32" t="s">
        <v>777</v>
      </c>
      <c r="Q182" s="31">
        <f>1857</f>
        <v>1857</v>
      </c>
      <c r="R182" s="32" t="s">
        <v>777</v>
      </c>
      <c r="S182" s="33">
        <f>1890.1</f>
        <v>1890.1</v>
      </c>
      <c r="T182" s="30">
        <f>1976999</f>
        <v>1976999</v>
      </c>
      <c r="U182" s="30">
        <f>1723003</f>
        <v>1723003</v>
      </c>
      <c r="V182" s="30">
        <f>3706190192</f>
        <v>3706190192</v>
      </c>
      <c r="W182" s="30">
        <f>3225190268</f>
        <v>3225190268</v>
      </c>
      <c r="X182" s="34">
        <f>21</f>
        <v>21</v>
      </c>
    </row>
    <row r="183" spans="1:24">
      <c r="A183" s="25" t="s">
        <v>1246</v>
      </c>
      <c r="B183" s="25" t="s">
        <v>1099</v>
      </c>
      <c r="C183" s="25" t="s">
        <v>1100</v>
      </c>
      <c r="D183" s="25" t="s">
        <v>1101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1051</f>
        <v>1051</v>
      </c>
      <c r="L183" s="32" t="s">
        <v>1116</v>
      </c>
      <c r="M183" s="31">
        <f>1108</f>
        <v>1108</v>
      </c>
      <c r="N183" s="32" t="s">
        <v>777</v>
      </c>
      <c r="O183" s="31">
        <f>1050</f>
        <v>1050</v>
      </c>
      <c r="P183" s="32" t="s">
        <v>1116</v>
      </c>
      <c r="Q183" s="31">
        <f>1097</f>
        <v>1097</v>
      </c>
      <c r="R183" s="32" t="s">
        <v>777</v>
      </c>
      <c r="S183" s="33">
        <f>1078.19</f>
        <v>1078.19</v>
      </c>
      <c r="T183" s="30">
        <f>2198410</f>
        <v>2198410</v>
      </c>
      <c r="U183" s="30">
        <f>129473</f>
        <v>129473</v>
      </c>
      <c r="V183" s="30">
        <f>2367226129</f>
        <v>2367226129</v>
      </c>
      <c r="W183" s="30">
        <f>138601181</f>
        <v>138601181</v>
      </c>
      <c r="X183" s="34">
        <f>21</f>
        <v>21</v>
      </c>
    </row>
    <row r="184" spans="1:24">
      <c r="A184" s="25" t="s">
        <v>1246</v>
      </c>
      <c r="B184" s="25" t="s">
        <v>1103</v>
      </c>
      <c r="C184" s="25" t="s">
        <v>1104</v>
      </c>
      <c r="D184" s="25" t="s">
        <v>1105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1200</f>
        <v>1200</v>
      </c>
      <c r="L184" s="32" t="s">
        <v>1116</v>
      </c>
      <c r="M184" s="31">
        <f>1201</f>
        <v>1201</v>
      </c>
      <c r="N184" s="32" t="s">
        <v>1116</v>
      </c>
      <c r="O184" s="31">
        <f>1110</f>
        <v>1110</v>
      </c>
      <c r="P184" s="32" t="s">
        <v>1118</v>
      </c>
      <c r="Q184" s="31">
        <f>1135</f>
        <v>1135</v>
      </c>
      <c r="R184" s="32" t="s">
        <v>777</v>
      </c>
      <c r="S184" s="33">
        <f>1152.14</f>
        <v>1152.1400000000001</v>
      </c>
      <c r="T184" s="30">
        <f>159908</f>
        <v>159908</v>
      </c>
      <c r="U184" s="30" t="str">
        <f>"－"</f>
        <v>－</v>
      </c>
      <c r="V184" s="30">
        <f>182202015</f>
        <v>182202015</v>
      </c>
      <c r="W184" s="30" t="str">
        <f>"－"</f>
        <v>－</v>
      </c>
      <c r="X184" s="34">
        <f>21</f>
        <v>21</v>
      </c>
    </row>
    <row r="185" spans="1:24">
      <c r="A185" s="25" t="s">
        <v>1246</v>
      </c>
      <c r="B185" s="25" t="s">
        <v>1106</v>
      </c>
      <c r="C185" s="25" t="s">
        <v>1107</v>
      </c>
      <c r="D185" s="25" t="s">
        <v>1108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1069</f>
        <v>1069</v>
      </c>
      <c r="L185" s="32" t="s">
        <v>1116</v>
      </c>
      <c r="M185" s="31">
        <f>1105</f>
        <v>1105</v>
      </c>
      <c r="N185" s="32" t="s">
        <v>777</v>
      </c>
      <c r="O185" s="31">
        <f>1030</f>
        <v>1030</v>
      </c>
      <c r="P185" s="32" t="s">
        <v>876</v>
      </c>
      <c r="Q185" s="31">
        <f>1090</f>
        <v>1090</v>
      </c>
      <c r="R185" s="32" t="s">
        <v>777</v>
      </c>
      <c r="S185" s="33">
        <f>1059.1</f>
        <v>1059.0999999999999</v>
      </c>
      <c r="T185" s="30">
        <f>74685</f>
        <v>74685</v>
      </c>
      <c r="U185" s="30" t="str">
        <f>"－"</f>
        <v>－</v>
      </c>
      <c r="V185" s="30">
        <f>79254332</f>
        <v>79254332</v>
      </c>
      <c r="W185" s="30" t="str">
        <f>"－"</f>
        <v>－</v>
      </c>
      <c r="X185" s="34">
        <f>21</f>
        <v>21</v>
      </c>
    </row>
    <row r="186" spans="1:24">
      <c r="A186" s="25" t="s">
        <v>1246</v>
      </c>
      <c r="B186" s="25" t="s">
        <v>1177</v>
      </c>
      <c r="C186" s="25" t="s">
        <v>1178</v>
      </c>
      <c r="D186" s="25" t="s">
        <v>1179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10</v>
      </c>
      <c r="K186" s="31">
        <f>196.2</f>
        <v>196.2</v>
      </c>
      <c r="L186" s="32" t="s">
        <v>1116</v>
      </c>
      <c r="M186" s="31">
        <f>204.5</f>
        <v>204.5</v>
      </c>
      <c r="N186" s="32" t="s">
        <v>682</v>
      </c>
      <c r="O186" s="31">
        <f>195.9</f>
        <v>195.9</v>
      </c>
      <c r="P186" s="32" t="s">
        <v>1116</v>
      </c>
      <c r="Q186" s="31">
        <f>200.6</f>
        <v>200.6</v>
      </c>
      <c r="R186" s="32" t="s">
        <v>777</v>
      </c>
      <c r="S186" s="33">
        <f>199.6</f>
        <v>199.6</v>
      </c>
      <c r="T186" s="30">
        <f>4809340</f>
        <v>4809340</v>
      </c>
      <c r="U186" s="30">
        <f>267890</f>
        <v>267890</v>
      </c>
      <c r="V186" s="30">
        <f>961668003</f>
        <v>961668003</v>
      </c>
      <c r="W186" s="30">
        <f>53422893</f>
        <v>53422893</v>
      </c>
      <c r="X186" s="34">
        <f>21</f>
        <v>21</v>
      </c>
    </row>
    <row r="187" spans="1:24">
      <c r="A187" s="25" t="s">
        <v>1246</v>
      </c>
      <c r="B187" s="25" t="s">
        <v>462</v>
      </c>
      <c r="C187" s="25" t="s">
        <v>463</v>
      </c>
      <c r="D187" s="25" t="s">
        <v>464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5399</f>
        <v>5399</v>
      </c>
      <c r="L187" s="32" t="s">
        <v>1116</v>
      </c>
      <c r="M187" s="31">
        <f>6200</f>
        <v>6200</v>
      </c>
      <c r="N187" s="32" t="s">
        <v>759</v>
      </c>
      <c r="O187" s="31">
        <f>5087</f>
        <v>5087</v>
      </c>
      <c r="P187" s="32" t="s">
        <v>1116</v>
      </c>
      <c r="Q187" s="31">
        <f>5736</f>
        <v>5736</v>
      </c>
      <c r="R187" s="32" t="s">
        <v>777</v>
      </c>
      <c r="S187" s="33">
        <f>5534.29</f>
        <v>5534.29</v>
      </c>
      <c r="T187" s="30">
        <f>63123</f>
        <v>63123</v>
      </c>
      <c r="U187" s="30" t="str">
        <f>"－"</f>
        <v>－</v>
      </c>
      <c r="V187" s="30">
        <f>357045686</f>
        <v>357045686</v>
      </c>
      <c r="W187" s="30" t="str">
        <f>"－"</f>
        <v>－</v>
      </c>
      <c r="X187" s="34">
        <f>21</f>
        <v>21</v>
      </c>
    </row>
    <row r="188" spans="1:24">
      <c r="A188" s="25" t="s">
        <v>1246</v>
      </c>
      <c r="B188" s="25" t="s">
        <v>466</v>
      </c>
      <c r="C188" s="25" t="s">
        <v>467</v>
      </c>
      <c r="D188" s="25" t="s">
        <v>468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8333</f>
        <v>8333</v>
      </c>
      <c r="L188" s="32" t="s">
        <v>1116</v>
      </c>
      <c r="M188" s="31">
        <f>8451</f>
        <v>8451</v>
      </c>
      <c r="N188" s="32" t="s">
        <v>1118</v>
      </c>
      <c r="O188" s="31">
        <f>7513</f>
        <v>7513</v>
      </c>
      <c r="P188" s="32" t="s">
        <v>759</v>
      </c>
      <c r="Q188" s="31">
        <f>8374</f>
        <v>8374</v>
      </c>
      <c r="R188" s="32" t="s">
        <v>777</v>
      </c>
      <c r="S188" s="33">
        <f>8167.81</f>
        <v>8167.81</v>
      </c>
      <c r="T188" s="30">
        <f>8933</f>
        <v>8933</v>
      </c>
      <c r="U188" s="30" t="str">
        <f>"－"</f>
        <v>－</v>
      </c>
      <c r="V188" s="30">
        <f>71811073</f>
        <v>71811073</v>
      </c>
      <c r="W188" s="30" t="str">
        <f>"－"</f>
        <v>－</v>
      </c>
      <c r="X188" s="34">
        <f>21</f>
        <v>21</v>
      </c>
    </row>
    <row r="189" spans="1:24">
      <c r="A189" s="25" t="s">
        <v>1246</v>
      </c>
      <c r="B189" s="25" t="s">
        <v>469</v>
      </c>
      <c r="C189" s="25" t="s">
        <v>470</v>
      </c>
      <c r="D189" s="25" t="s">
        <v>471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9990</f>
        <v>9990</v>
      </c>
      <c r="L189" s="32" t="s">
        <v>1116</v>
      </c>
      <c r="M189" s="31">
        <f>10485</f>
        <v>10485</v>
      </c>
      <c r="N189" s="32" t="s">
        <v>760</v>
      </c>
      <c r="O189" s="31">
        <f>9130</f>
        <v>9130</v>
      </c>
      <c r="P189" s="32" t="s">
        <v>876</v>
      </c>
      <c r="Q189" s="31">
        <f>9690</f>
        <v>9690</v>
      </c>
      <c r="R189" s="32" t="s">
        <v>777</v>
      </c>
      <c r="S189" s="33">
        <f>9875.43</f>
        <v>9875.43</v>
      </c>
      <c r="T189" s="30">
        <f>11816</f>
        <v>11816</v>
      </c>
      <c r="U189" s="30">
        <f>1</f>
        <v>1</v>
      </c>
      <c r="V189" s="30">
        <f>114200270</f>
        <v>114200270</v>
      </c>
      <c r="W189" s="30">
        <f>9690</f>
        <v>9690</v>
      </c>
      <c r="X189" s="34">
        <f>21</f>
        <v>21</v>
      </c>
    </row>
    <row r="190" spans="1:24">
      <c r="A190" s="25" t="s">
        <v>1246</v>
      </c>
      <c r="B190" s="25" t="s">
        <v>472</v>
      </c>
      <c r="C190" s="25" t="s">
        <v>473</v>
      </c>
      <c r="D190" s="25" t="s">
        <v>474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8156</f>
        <v>8156</v>
      </c>
      <c r="L190" s="32" t="s">
        <v>1116</v>
      </c>
      <c r="M190" s="31">
        <f>8510</f>
        <v>8510</v>
      </c>
      <c r="N190" s="32" t="s">
        <v>1118</v>
      </c>
      <c r="O190" s="31">
        <f>7867</f>
        <v>7867</v>
      </c>
      <c r="P190" s="32" t="s">
        <v>1145</v>
      </c>
      <c r="Q190" s="31">
        <f>8291</f>
        <v>8291</v>
      </c>
      <c r="R190" s="32" t="s">
        <v>777</v>
      </c>
      <c r="S190" s="33">
        <f>8165.67</f>
        <v>8165.67</v>
      </c>
      <c r="T190" s="30">
        <f>8574</f>
        <v>8574</v>
      </c>
      <c r="U190" s="30" t="str">
        <f>"－"</f>
        <v>－</v>
      </c>
      <c r="V190" s="30">
        <f>69958511</f>
        <v>69958511</v>
      </c>
      <c r="W190" s="30" t="str">
        <f>"－"</f>
        <v>－</v>
      </c>
      <c r="X190" s="34">
        <f>21</f>
        <v>21</v>
      </c>
    </row>
    <row r="191" spans="1:24">
      <c r="A191" s="25" t="s">
        <v>1246</v>
      </c>
      <c r="B191" s="25" t="s">
        <v>475</v>
      </c>
      <c r="C191" s="25" t="s">
        <v>476</v>
      </c>
      <c r="D191" s="25" t="s">
        <v>477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65110</f>
        <v>65110</v>
      </c>
      <c r="L191" s="32" t="s">
        <v>1116</v>
      </c>
      <c r="M191" s="31">
        <f>71480</f>
        <v>71480</v>
      </c>
      <c r="N191" s="32" t="s">
        <v>677</v>
      </c>
      <c r="O191" s="31">
        <f>64470</f>
        <v>64470</v>
      </c>
      <c r="P191" s="32" t="s">
        <v>876</v>
      </c>
      <c r="Q191" s="31">
        <f>70510</f>
        <v>70510</v>
      </c>
      <c r="R191" s="32" t="s">
        <v>777</v>
      </c>
      <c r="S191" s="33">
        <f>68313.81</f>
        <v>68313.81</v>
      </c>
      <c r="T191" s="30">
        <f>77452</f>
        <v>77452</v>
      </c>
      <c r="U191" s="30">
        <f>44</f>
        <v>44</v>
      </c>
      <c r="V191" s="30">
        <f>5326395710</f>
        <v>5326395710</v>
      </c>
      <c r="W191" s="30">
        <f>3049710</f>
        <v>3049710</v>
      </c>
      <c r="X191" s="34">
        <f>21</f>
        <v>21</v>
      </c>
    </row>
    <row r="192" spans="1:24">
      <c r="A192" s="25" t="s">
        <v>1246</v>
      </c>
      <c r="B192" s="25" t="s">
        <v>478</v>
      </c>
      <c r="C192" s="25" t="s">
        <v>479</v>
      </c>
      <c r="D192" s="25" t="s">
        <v>480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2512</f>
        <v>2512</v>
      </c>
      <c r="L192" s="32" t="s">
        <v>1116</v>
      </c>
      <c r="M192" s="31">
        <f>2572</f>
        <v>2572</v>
      </c>
      <c r="N192" s="32" t="s">
        <v>1145</v>
      </c>
      <c r="O192" s="31">
        <f>2402</f>
        <v>2402</v>
      </c>
      <c r="P192" s="32" t="s">
        <v>677</v>
      </c>
      <c r="Q192" s="31">
        <f>2420</f>
        <v>2420</v>
      </c>
      <c r="R192" s="32" t="s">
        <v>777</v>
      </c>
      <c r="S192" s="33">
        <f>2468.52</f>
        <v>2468.52</v>
      </c>
      <c r="T192" s="30">
        <f>21405</f>
        <v>21405</v>
      </c>
      <c r="U192" s="30">
        <f>1</f>
        <v>1</v>
      </c>
      <c r="V192" s="30">
        <f>52874317</f>
        <v>52874317</v>
      </c>
      <c r="W192" s="30">
        <f>2420</f>
        <v>2420</v>
      </c>
      <c r="X192" s="34">
        <f>21</f>
        <v>21</v>
      </c>
    </row>
    <row r="193" spans="1:24">
      <c r="A193" s="25" t="s">
        <v>1246</v>
      </c>
      <c r="B193" s="25" t="s">
        <v>481</v>
      </c>
      <c r="C193" s="25" t="s">
        <v>482</v>
      </c>
      <c r="D193" s="25" t="s">
        <v>483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1686</f>
        <v>1686</v>
      </c>
      <c r="L193" s="32" t="s">
        <v>1116</v>
      </c>
      <c r="M193" s="31">
        <f>1936</f>
        <v>1936</v>
      </c>
      <c r="N193" s="32" t="s">
        <v>777</v>
      </c>
      <c r="O193" s="31">
        <f>1662</f>
        <v>1662</v>
      </c>
      <c r="P193" s="32" t="s">
        <v>876</v>
      </c>
      <c r="Q193" s="31">
        <f>1936</f>
        <v>1936</v>
      </c>
      <c r="R193" s="32" t="s">
        <v>777</v>
      </c>
      <c r="S193" s="33">
        <f>1792.76</f>
        <v>1792.76</v>
      </c>
      <c r="T193" s="30">
        <f>6490098</f>
        <v>6490098</v>
      </c>
      <c r="U193" s="30">
        <f>335099</f>
        <v>335099</v>
      </c>
      <c r="V193" s="30">
        <f>11619079884</f>
        <v>11619079884</v>
      </c>
      <c r="W193" s="30">
        <f>619925026</f>
        <v>619925026</v>
      </c>
      <c r="X193" s="34">
        <f>21</f>
        <v>21</v>
      </c>
    </row>
    <row r="194" spans="1:24">
      <c r="A194" s="25" t="s">
        <v>1246</v>
      </c>
      <c r="B194" s="25" t="s">
        <v>484</v>
      </c>
      <c r="C194" s="25" t="s">
        <v>485</v>
      </c>
      <c r="D194" s="25" t="s">
        <v>486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997</f>
        <v>997</v>
      </c>
      <c r="L194" s="32" t="s">
        <v>1116</v>
      </c>
      <c r="M194" s="31">
        <f>1005</f>
        <v>1005</v>
      </c>
      <c r="N194" s="32" t="s">
        <v>876</v>
      </c>
      <c r="O194" s="31">
        <f>932</f>
        <v>932</v>
      </c>
      <c r="P194" s="32" t="s">
        <v>777</v>
      </c>
      <c r="Q194" s="31">
        <f>934</f>
        <v>934</v>
      </c>
      <c r="R194" s="32" t="s">
        <v>777</v>
      </c>
      <c r="S194" s="33">
        <f>967.81</f>
        <v>967.81</v>
      </c>
      <c r="T194" s="30">
        <f>1004257</f>
        <v>1004257</v>
      </c>
      <c r="U194" s="30">
        <f>47016</f>
        <v>47016</v>
      </c>
      <c r="V194" s="30">
        <f>970843129</f>
        <v>970843129</v>
      </c>
      <c r="W194" s="30">
        <f>46469914</f>
        <v>46469914</v>
      </c>
      <c r="X194" s="34">
        <f>21</f>
        <v>21</v>
      </c>
    </row>
    <row r="195" spans="1:24">
      <c r="A195" s="25" t="s">
        <v>1246</v>
      </c>
      <c r="B195" s="25" t="s">
        <v>487</v>
      </c>
      <c r="C195" s="25" t="s">
        <v>488</v>
      </c>
      <c r="D195" s="25" t="s">
        <v>489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34300</f>
        <v>34300</v>
      </c>
      <c r="L195" s="32" t="s">
        <v>1116</v>
      </c>
      <c r="M195" s="31">
        <f>34550</f>
        <v>34550</v>
      </c>
      <c r="N195" s="32" t="s">
        <v>1145</v>
      </c>
      <c r="O195" s="31">
        <f>30460</f>
        <v>30460</v>
      </c>
      <c r="P195" s="32" t="s">
        <v>1118</v>
      </c>
      <c r="Q195" s="31">
        <f>31520</f>
        <v>31520</v>
      </c>
      <c r="R195" s="32" t="s">
        <v>777</v>
      </c>
      <c r="S195" s="33">
        <f>32815.71</f>
        <v>32815.71</v>
      </c>
      <c r="T195" s="30">
        <f>81640</f>
        <v>81640</v>
      </c>
      <c r="U195" s="30">
        <f>2</f>
        <v>2</v>
      </c>
      <c r="V195" s="30">
        <f>2589519970</f>
        <v>2589519970</v>
      </c>
      <c r="W195" s="30">
        <f>63040</f>
        <v>63040</v>
      </c>
      <c r="X195" s="34">
        <f>21</f>
        <v>21</v>
      </c>
    </row>
    <row r="196" spans="1:24">
      <c r="A196" s="25" t="s">
        <v>1246</v>
      </c>
      <c r="B196" s="25" t="s">
        <v>490</v>
      </c>
      <c r="C196" s="25" t="s">
        <v>491</v>
      </c>
      <c r="D196" s="25" t="s">
        <v>492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2292</f>
        <v>2292</v>
      </c>
      <c r="L196" s="32" t="s">
        <v>1116</v>
      </c>
      <c r="M196" s="31">
        <f>2424</f>
        <v>2424</v>
      </c>
      <c r="N196" s="32" t="s">
        <v>1118</v>
      </c>
      <c r="O196" s="31">
        <f>2262</f>
        <v>2262</v>
      </c>
      <c r="P196" s="32" t="s">
        <v>674</v>
      </c>
      <c r="Q196" s="31">
        <f>2380</f>
        <v>2380</v>
      </c>
      <c r="R196" s="32" t="s">
        <v>777</v>
      </c>
      <c r="S196" s="33">
        <f>2329.57</f>
        <v>2329.5700000000002</v>
      </c>
      <c r="T196" s="30">
        <f>197156</f>
        <v>197156</v>
      </c>
      <c r="U196" s="30">
        <f>30011</f>
        <v>30011</v>
      </c>
      <c r="V196" s="30">
        <f>458887681</f>
        <v>458887681</v>
      </c>
      <c r="W196" s="30">
        <f>67916180</f>
        <v>67916180</v>
      </c>
      <c r="X196" s="34">
        <f>21</f>
        <v>21</v>
      </c>
    </row>
    <row r="197" spans="1:24">
      <c r="A197" s="25" t="s">
        <v>1246</v>
      </c>
      <c r="B197" s="25" t="s">
        <v>493</v>
      </c>
      <c r="C197" s="25" t="s">
        <v>1057</v>
      </c>
      <c r="D197" s="25" t="s">
        <v>1058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6769</f>
        <v>6769</v>
      </c>
      <c r="L197" s="32" t="s">
        <v>1116</v>
      </c>
      <c r="M197" s="31">
        <f>6875</f>
        <v>6875</v>
      </c>
      <c r="N197" s="32" t="s">
        <v>1111</v>
      </c>
      <c r="O197" s="31">
        <f>6553</f>
        <v>6553</v>
      </c>
      <c r="P197" s="32" t="s">
        <v>680</v>
      </c>
      <c r="Q197" s="31">
        <f>6772</f>
        <v>6772</v>
      </c>
      <c r="R197" s="32" t="s">
        <v>777</v>
      </c>
      <c r="S197" s="33">
        <f>6708.52</f>
        <v>6708.52</v>
      </c>
      <c r="T197" s="30">
        <f>64559</f>
        <v>64559</v>
      </c>
      <c r="U197" s="30">
        <f>6003</f>
        <v>6003</v>
      </c>
      <c r="V197" s="30">
        <f>431956104</f>
        <v>431956104</v>
      </c>
      <c r="W197" s="30">
        <f>39896316</f>
        <v>39896316</v>
      </c>
      <c r="X197" s="34">
        <f>21</f>
        <v>21</v>
      </c>
    </row>
    <row r="198" spans="1:24">
      <c r="A198" s="25" t="s">
        <v>1246</v>
      </c>
      <c r="B198" s="25" t="s">
        <v>494</v>
      </c>
      <c r="C198" s="25" t="s">
        <v>495</v>
      </c>
      <c r="D198" s="25" t="s">
        <v>496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20300</f>
        <v>20300</v>
      </c>
      <c r="L198" s="32" t="s">
        <v>1116</v>
      </c>
      <c r="M198" s="31">
        <f>21270</f>
        <v>21270</v>
      </c>
      <c r="N198" s="32" t="s">
        <v>777</v>
      </c>
      <c r="O198" s="31">
        <f>20000</f>
        <v>20000</v>
      </c>
      <c r="P198" s="32" t="s">
        <v>1145</v>
      </c>
      <c r="Q198" s="31">
        <f>20970</f>
        <v>20970</v>
      </c>
      <c r="R198" s="32" t="s">
        <v>777</v>
      </c>
      <c r="S198" s="33">
        <f>20741.11</f>
        <v>20741.11</v>
      </c>
      <c r="T198" s="30">
        <f>391</f>
        <v>391</v>
      </c>
      <c r="U198" s="30" t="str">
        <f>"－"</f>
        <v>－</v>
      </c>
      <c r="V198" s="30">
        <f>8108740</f>
        <v>8108740</v>
      </c>
      <c r="W198" s="30" t="str">
        <f>"－"</f>
        <v>－</v>
      </c>
      <c r="X198" s="34">
        <f>18</f>
        <v>18</v>
      </c>
    </row>
    <row r="199" spans="1:24">
      <c r="A199" s="25" t="s">
        <v>1246</v>
      </c>
      <c r="B199" s="25" t="s">
        <v>497</v>
      </c>
      <c r="C199" s="25" t="s">
        <v>498</v>
      </c>
      <c r="D199" s="25" t="s">
        <v>499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31260</f>
        <v>31260</v>
      </c>
      <c r="L199" s="32" t="s">
        <v>1116</v>
      </c>
      <c r="M199" s="31">
        <f>31260</f>
        <v>31260</v>
      </c>
      <c r="N199" s="32" t="s">
        <v>1116</v>
      </c>
      <c r="O199" s="31">
        <f>29790</f>
        <v>29790</v>
      </c>
      <c r="P199" s="32" t="s">
        <v>680</v>
      </c>
      <c r="Q199" s="31">
        <f>30770</f>
        <v>30770</v>
      </c>
      <c r="R199" s="32" t="s">
        <v>777</v>
      </c>
      <c r="S199" s="33">
        <f>30597.62</f>
        <v>30597.62</v>
      </c>
      <c r="T199" s="30">
        <f>15259</f>
        <v>15259</v>
      </c>
      <c r="U199" s="30">
        <f>5</f>
        <v>5</v>
      </c>
      <c r="V199" s="30">
        <f>466017235</f>
        <v>466017235</v>
      </c>
      <c r="W199" s="30">
        <f>152370</f>
        <v>152370</v>
      </c>
      <c r="X199" s="34">
        <f>21</f>
        <v>21</v>
      </c>
    </row>
    <row r="200" spans="1:24">
      <c r="A200" s="25" t="s">
        <v>1246</v>
      </c>
      <c r="B200" s="25" t="s">
        <v>500</v>
      </c>
      <c r="C200" s="25" t="s">
        <v>501</v>
      </c>
      <c r="D200" s="25" t="s">
        <v>502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16440</f>
        <v>16440</v>
      </c>
      <c r="L200" s="32" t="s">
        <v>1145</v>
      </c>
      <c r="M200" s="31">
        <f>16715</f>
        <v>16715</v>
      </c>
      <c r="N200" s="32" t="s">
        <v>778</v>
      </c>
      <c r="O200" s="31">
        <f>16000</f>
        <v>16000</v>
      </c>
      <c r="P200" s="32" t="s">
        <v>677</v>
      </c>
      <c r="Q200" s="31">
        <f>16520</f>
        <v>16520</v>
      </c>
      <c r="R200" s="32" t="s">
        <v>777</v>
      </c>
      <c r="S200" s="33">
        <f>16283.33</f>
        <v>16283.33</v>
      </c>
      <c r="T200" s="30">
        <f>217</f>
        <v>217</v>
      </c>
      <c r="U200" s="30" t="str">
        <f>"－"</f>
        <v>－</v>
      </c>
      <c r="V200" s="30">
        <f>3543355</f>
        <v>3543355</v>
      </c>
      <c r="W200" s="30" t="str">
        <f>"－"</f>
        <v>－</v>
      </c>
      <c r="X200" s="34">
        <f>12</f>
        <v>12</v>
      </c>
    </row>
    <row r="201" spans="1:24">
      <c r="A201" s="25" t="s">
        <v>1246</v>
      </c>
      <c r="B201" s="25" t="s">
        <v>503</v>
      </c>
      <c r="C201" s="25" t="s">
        <v>504</v>
      </c>
      <c r="D201" s="25" t="s">
        <v>505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31800</f>
        <v>31800</v>
      </c>
      <c r="L201" s="32" t="s">
        <v>1116</v>
      </c>
      <c r="M201" s="31">
        <f>33220</f>
        <v>33220</v>
      </c>
      <c r="N201" s="32" t="s">
        <v>760</v>
      </c>
      <c r="O201" s="31">
        <f>31030</f>
        <v>31030</v>
      </c>
      <c r="P201" s="32" t="s">
        <v>683</v>
      </c>
      <c r="Q201" s="31">
        <f>31250</f>
        <v>31250</v>
      </c>
      <c r="R201" s="32" t="s">
        <v>777</v>
      </c>
      <c r="S201" s="33">
        <f>31972.38</f>
        <v>31972.38</v>
      </c>
      <c r="T201" s="30">
        <f>47949</f>
        <v>47949</v>
      </c>
      <c r="U201" s="30">
        <f>97</f>
        <v>97</v>
      </c>
      <c r="V201" s="30">
        <f>1528682460</f>
        <v>1528682460</v>
      </c>
      <c r="W201" s="30">
        <f>3036410</f>
        <v>3036410</v>
      </c>
      <c r="X201" s="34">
        <f>21</f>
        <v>21</v>
      </c>
    </row>
    <row r="202" spans="1:24">
      <c r="A202" s="25" t="s">
        <v>1246</v>
      </c>
      <c r="B202" s="25" t="s">
        <v>506</v>
      </c>
      <c r="C202" s="25" t="s">
        <v>507</v>
      </c>
      <c r="D202" s="25" t="s">
        <v>508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3570</f>
        <v>3570</v>
      </c>
      <c r="L202" s="32" t="s">
        <v>1116</v>
      </c>
      <c r="M202" s="31">
        <f>3790</f>
        <v>3790</v>
      </c>
      <c r="N202" s="32" t="s">
        <v>778</v>
      </c>
      <c r="O202" s="31">
        <f>3440</f>
        <v>3440</v>
      </c>
      <c r="P202" s="32" t="s">
        <v>1124</v>
      </c>
      <c r="Q202" s="31">
        <f>3755</f>
        <v>3755</v>
      </c>
      <c r="R202" s="32" t="s">
        <v>777</v>
      </c>
      <c r="S202" s="33">
        <f>3627.86</f>
        <v>3627.86</v>
      </c>
      <c r="T202" s="30">
        <f>8539</f>
        <v>8539</v>
      </c>
      <c r="U202" s="30" t="str">
        <f>"－"</f>
        <v>－</v>
      </c>
      <c r="V202" s="30">
        <f>31321680</f>
        <v>31321680</v>
      </c>
      <c r="W202" s="30" t="str">
        <f>"－"</f>
        <v>－</v>
      </c>
      <c r="X202" s="34">
        <f>21</f>
        <v>21</v>
      </c>
    </row>
    <row r="203" spans="1:24">
      <c r="A203" s="25" t="s">
        <v>1246</v>
      </c>
      <c r="B203" s="25" t="s">
        <v>509</v>
      </c>
      <c r="C203" s="25" t="s">
        <v>510</v>
      </c>
      <c r="D203" s="25" t="s">
        <v>511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30520</f>
        <v>30520</v>
      </c>
      <c r="L203" s="32" t="s">
        <v>1116</v>
      </c>
      <c r="M203" s="31">
        <f>33500</f>
        <v>33500</v>
      </c>
      <c r="N203" s="32" t="s">
        <v>1111</v>
      </c>
      <c r="O203" s="31">
        <f>30130</f>
        <v>30130</v>
      </c>
      <c r="P203" s="32" t="s">
        <v>684</v>
      </c>
      <c r="Q203" s="31">
        <f>33370</f>
        <v>33370</v>
      </c>
      <c r="R203" s="32" t="s">
        <v>777</v>
      </c>
      <c r="S203" s="33">
        <f>31648.67</f>
        <v>31648.67</v>
      </c>
      <c r="T203" s="30">
        <f>3169</f>
        <v>3169</v>
      </c>
      <c r="U203" s="30">
        <f>2</f>
        <v>2</v>
      </c>
      <c r="V203" s="30">
        <f>100046510</f>
        <v>100046510</v>
      </c>
      <c r="W203" s="30">
        <f>63980</f>
        <v>63980</v>
      </c>
      <c r="X203" s="34">
        <f>15</f>
        <v>15</v>
      </c>
    </row>
    <row r="204" spans="1:24">
      <c r="A204" s="25" t="s">
        <v>1246</v>
      </c>
      <c r="B204" s="25" t="s">
        <v>512</v>
      </c>
      <c r="C204" s="25" t="s">
        <v>513</v>
      </c>
      <c r="D204" s="25" t="s">
        <v>514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19670</f>
        <v>19670</v>
      </c>
      <c r="L204" s="32" t="s">
        <v>675</v>
      </c>
      <c r="M204" s="31">
        <f>20340</f>
        <v>20340</v>
      </c>
      <c r="N204" s="32" t="s">
        <v>677</v>
      </c>
      <c r="O204" s="31">
        <f>19670</f>
        <v>19670</v>
      </c>
      <c r="P204" s="32" t="s">
        <v>675</v>
      </c>
      <c r="Q204" s="31">
        <f>20040</f>
        <v>20040</v>
      </c>
      <c r="R204" s="32" t="s">
        <v>680</v>
      </c>
      <c r="S204" s="33">
        <f>20080</f>
        <v>20080</v>
      </c>
      <c r="T204" s="30">
        <f>15</f>
        <v>15</v>
      </c>
      <c r="U204" s="30" t="str">
        <f>"－"</f>
        <v>－</v>
      </c>
      <c r="V204" s="30">
        <f>300760</f>
        <v>300760</v>
      </c>
      <c r="W204" s="30" t="str">
        <f>"－"</f>
        <v>－</v>
      </c>
      <c r="X204" s="34">
        <f>4</f>
        <v>4</v>
      </c>
    </row>
    <row r="205" spans="1:24">
      <c r="A205" s="25" t="s">
        <v>1246</v>
      </c>
      <c r="B205" s="25" t="s">
        <v>515</v>
      </c>
      <c r="C205" s="25" t="s">
        <v>516</v>
      </c>
      <c r="D205" s="25" t="s">
        <v>517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35170</f>
        <v>35170</v>
      </c>
      <c r="L205" s="32" t="s">
        <v>1116</v>
      </c>
      <c r="M205" s="31">
        <f>37630</f>
        <v>37630</v>
      </c>
      <c r="N205" s="32" t="s">
        <v>1111</v>
      </c>
      <c r="O205" s="31">
        <f>35110</f>
        <v>35110</v>
      </c>
      <c r="P205" s="32" t="s">
        <v>876</v>
      </c>
      <c r="Q205" s="31">
        <f>37630</f>
        <v>37630</v>
      </c>
      <c r="R205" s="32" t="s">
        <v>777</v>
      </c>
      <c r="S205" s="33">
        <f>36444.67</f>
        <v>36444.67</v>
      </c>
      <c r="T205" s="30">
        <f>377</f>
        <v>377</v>
      </c>
      <c r="U205" s="30">
        <f>2</f>
        <v>2</v>
      </c>
      <c r="V205" s="30">
        <f>13904840</f>
        <v>13904840</v>
      </c>
      <c r="W205" s="30">
        <f>75260</f>
        <v>75260</v>
      </c>
      <c r="X205" s="34">
        <f>15</f>
        <v>15</v>
      </c>
    </row>
    <row r="206" spans="1:24">
      <c r="A206" s="25" t="s">
        <v>1246</v>
      </c>
      <c r="B206" s="25" t="s">
        <v>518</v>
      </c>
      <c r="C206" s="25" t="s">
        <v>519</v>
      </c>
      <c r="D206" s="25" t="s">
        <v>520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18765</f>
        <v>18765</v>
      </c>
      <c r="L206" s="32" t="s">
        <v>1124</v>
      </c>
      <c r="M206" s="31">
        <f>19465</f>
        <v>19465</v>
      </c>
      <c r="N206" s="32" t="s">
        <v>778</v>
      </c>
      <c r="O206" s="31">
        <f>18620</f>
        <v>18620</v>
      </c>
      <c r="P206" s="32" t="s">
        <v>876</v>
      </c>
      <c r="Q206" s="31">
        <f>19465</f>
        <v>19465</v>
      </c>
      <c r="R206" s="32" t="s">
        <v>778</v>
      </c>
      <c r="S206" s="33">
        <f>18963</f>
        <v>18963</v>
      </c>
      <c r="T206" s="30">
        <f>22</f>
        <v>22</v>
      </c>
      <c r="U206" s="30" t="str">
        <f>"－"</f>
        <v>－</v>
      </c>
      <c r="V206" s="30">
        <f>417490</f>
        <v>417490</v>
      </c>
      <c r="W206" s="30" t="str">
        <f>"－"</f>
        <v>－</v>
      </c>
      <c r="X206" s="34">
        <f>5</f>
        <v>5</v>
      </c>
    </row>
    <row r="207" spans="1:24">
      <c r="A207" s="25" t="s">
        <v>1246</v>
      </c>
      <c r="B207" s="25" t="s">
        <v>521</v>
      </c>
      <c r="C207" s="25" t="s">
        <v>522</v>
      </c>
      <c r="D207" s="25" t="s">
        <v>523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18995</f>
        <v>18995</v>
      </c>
      <c r="L207" s="32" t="s">
        <v>1116</v>
      </c>
      <c r="M207" s="31">
        <f>19900</f>
        <v>19900</v>
      </c>
      <c r="N207" s="32" t="s">
        <v>1111</v>
      </c>
      <c r="O207" s="31">
        <f>18995</f>
        <v>18995</v>
      </c>
      <c r="P207" s="32" t="s">
        <v>1116</v>
      </c>
      <c r="Q207" s="31">
        <f>19900</f>
        <v>19900</v>
      </c>
      <c r="R207" s="32" t="s">
        <v>1111</v>
      </c>
      <c r="S207" s="33">
        <f>19397.31</f>
        <v>19397.310000000001</v>
      </c>
      <c r="T207" s="30">
        <f>190</f>
        <v>190</v>
      </c>
      <c r="U207" s="30" t="str">
        <f>"－"</f>
        <v>－</v>
      </c>
      <c r="V207" s="30">
        <f>3730860</f>
        <v>3730860</v>
      </c>
      <c r="W207" s="30" t="str">
        <f>"－"</f>
        <v>－</v>
      </c>
      <c r="X207" s="34">
        <f>13</f>
        <v>13</v>
      </c>
    </row>
    <row r="208" spans="1:24">
      <c r="A208" s="25" t="s">
        <v>1246</v>
      </c>
      <c r="B208" s="25" t="s">
        <v>524</v>
      </c>
      <c r="C208" s="25" t="s">
        <v>525</v>
      </c>
      <c r="D208" s="25" t="s">
        <v>526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22495</f>
        <v>22495</v>
      </c>
      <c r="L208" s="32" t="s">
        <v>1116</v>
      </c>
      <c r="M208" s="31">
        <f>23715</f>
        <v>23715</v>
      </c>
      <c r="N208" s="32" t="s">
        <v>1111</v>
      </c>
      <c r="O208" s="31">
        <f>22495</f>
        <v>22495</v>
      </c>
      <c r="P208" s="32" t="s">
        <v>1116</v>
      </c>
      <c r="Q208" s="31">
        <f>23710</f>
        <v>23710</v>
      </c>
      <c r="R208" s="32" t="s">
        <v>1111</v>
      </c>
      <c r="S208" s="33">
        <f>23106.67</f>
        <v>23106.67</v>
      </c>
      <c r="T208" s="30">
        <f>132</f>
        <v>132</v>
      </c>
      <c r="U208" s="30" t="str">
        <f>"－"</f>
        <v>－</v>
      </c>
      <c r="V208" s="30">
        <f>3090405</f>
        <v>3090405</v>
      </c>
      <c r="W208" s="30" t="str">
        <f>"－"</f>
        <v>－</v>
      </c>
      <c r="X208" s="34">
        <f>6</f>
        <v>6</v>
      </c>
    </row>
    <row r="209" spans="1:24">
      <c r="A209" s="25" t="s">
        <v>1246</v>
      </c>
      <c r="B209" s="25" t="s">
        <v>527</v>
      </c>
      <c r="C209" s="25" t="s">
        <v>528</v>
      </c>
      <c r="D209" s="25" t="s">
        <v>529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18350</f>
        <v>18350</v>
      </c>
      <c r="L209" s="32" t="s">
        <v>682</v>
      </c>
      <c r="M209" s="31">
        <f>18350</f>
        <v>18350</v>
      </c>
      <c r="N209" s="32" t="s">
        <v>682</v>
      </c>
      <c r="O209" s="31">
        <f>18165</f>
        <v>18165</v>
      </c>
      <c r="P209" s="32" t="s">
        <v>679</v>
      </c>
      <c r="Q209" s="31">
        <f>18165</f>
        <v>18165</v>
      </c>
      <c r="R209" s="32" t="s">
        <v>679</v>
      </c>
      <c r="S209" s="33">
        <f>18257.5</f>
        <v>18257.5</v>
      </c>
      <c r="T209" s="30">
        <f>221</f>
        <v>221</v>
      </c>
      <c r="U209" s="30" t="str">
        <f>"－"</f>
        <v>－</v>
      </c>
      <c r="V209" s="30">
        <f>4055165</f>
        <v>4055165</v>
      </c>
      <c r="W209" s="30" t="str">
        <f>"－"</f>
        <v>－</v>
      </c>
      <c r="X209" s="34">
        <f>2</f>
        <v>2</v>
      </c>
    </row>
    <row r="210" spans="1:24">
      <c r="A210" s="25" t="s">
        <v>1246</v>
      </c>
      <c r="B210" s="25" t="s">
        <v>530</v>
      </c>
      <c r="C210" s="25" t="s">
        <v>531</v>
      </c>
      <c r="D210" s="25" t="s">
        <v>532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12195</f>
        <v>12195</v>
      </c>
      <c r="L210" s="32" t="s">
        <v>1145</v>
      </c>
      <c r="M210" s="31">
        <f>12385</f>
        <v>12385</v>
      </c>
      <c r="N210" s="32" t="s">
        <v>677</v>
      </c>
      <c r="O210" s="31">
        <f>12085</f>
        <v>12085</v>
      </c>
      <c r="P210" s="32" t="s">
        <v>1123</v>
      </c>
      <c r="Q210" s="31">
        <f>12100</f>
        <v>12100</v>
      </c>
      <c r="R210" s="32" t="s">
        <v>679</v>
      </c>
      <c r="S210" s="33">
        <f>12241.25</f>
        <v>12241.25</v>
      </c>
      <c r="T210" s="30">
        <f>1396</f>
        <v>1396</v>
      </c>
      <c r="U210" s="30">
        <f>1</f>
        <v>1</v>
      </c>
      <c r="V210" s="30">
        <f>17074960</f>
        <v>17074960</v>
      </c>
      <c r="W210" s="30">
        <f>12350</f>
        <v>12350</v>
      </c>
      <c r="X210" s="34">
        <f>12</f>
        <v>12</v>
      </c>
    </row>
    <row r="211" spans="1:24">
      <c r="A211" s="25" t="s">
        <v>1246</v>
      </c>
      <c r="B211" s="25" t="s">
        <v>533</v>
      </c>
      <c r="C211" s="25" t="s">
        <v>534</v>
      </c>
      <c r="D211" s="25" t="s">
        <v>535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14215</f>
        <v>14215</v>
      </c>
      <c r="L211" s="32" t="s">
        <v>1116</v>
      </c>
      <c r="M211" s="31">
        <f>14905</f>
        <v>14905</v>
      </c>
      <c r="N211" s="32" t="s">
        <v>1111</v>
      </c>
      <c r="O211" s="31">
        <f>14215</f>
        <v>14215</v>
      </c>
      <c r="P211" s="32" t="s">
        <v>1116</v>
      </c>
      <c r="Q211" s="31">
        <f>14905</f>
        <v>14905</v>
      </c>
      <c r="R211" s="32" t="s">
        <v>1111</v>
      </c>
      <c r="S211" s="33">
        <f>14617.25</f>
        <v>14617.25</v>
      </c>
      <c r="T211" s="30">
        <f>10173</f>
        <v>10173</v>
      </c>
      <c r="U211" s="30">
        <f>2</f>
        <v>2</v>
      </c>
      <c r="V211" s="30">
        <f>148436065</f>
        <v>148436065</v>
      </c>
      <c r="W211" s="30">
        <f>29810</f>
        <v>29810</v>
      </c>
      <c r="X211" s="34">
        <f>20</f>
        <v>20</v>
      </c>
    </row>
    <row r="212" spans="1:24">
      <c r="A212" s="25" t="s">
        <v>1246</v>
      </c>
      <c r="B212" s="25" t="s">
        <v>536</v>
      </c>
      <c r="C212" s="25" t="s">
        <v>537</v>
      </c>
      <c r="D212" s="25" t="s">
        <v>538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12885</f>
        <v>12885</v>
      </c>
      <c r="L212" s="32" t="s">
        <v>1124</v>
      </c>
      <c r="M212" s="31">
        <f>13030</f>
        <v>13030</v>
      </c>
      <c r="N212" s="32" t="s">
        <v>677</v>
      </c>
      <c r="O212" s="31">
        <f>12665</f>
        <v>12665</v>
      </c>
      <c r="P212" s="32" t="s">
        <v>680</v>
      </c>
      <c r="Q212" s="31">
        <f>12795</f>
        <v>12795</v>
      </c>
      <c r="R212" s="32" t="s">
        <v>778</v>
      </c>
      <c r="S212" s="33">
        <f>12833.75</f>
        <v>12833.75</v>
      </c>
      <c r="T212" s="30">
        <f>883</f>
        <v>883</v>
      </c>
      <c r="U212" s="30">
        <f>1</f>
        <v>1</v>
      </c>
      <c r="V212" s="30">
        <f>11268490</f>
        <v>11268490</v>
      </c>
      <c r="W212" s="30">
        <f>12795</f>
        <v>12795</v>
      </c>
      <c r="X212" s="34">
        <f>8</f>
        <v>8</v>
      </c>
    </row>
    <row r="213" spans="1:24">
      <c r="A213" s="25" t="s">
        <v>1246</v>
      </c>
      <c r="B213" s="25" t="s">
        <v>783</v>
      </c>
      <c r="C213" s="25" t="s">
        <v>784</v>
      </c>
      <c r="D213" s="25" t="s">
        <v>785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13495</f>
        <v>13495</v>
      </c>
      <c r="L213" s="32" t="s">
        <v>1145</v>
      </c>
      <c r="M213" s="31">
        <f>13535</f>
        <v>13535</v>
      </c>
      <c r="N213" s="32" t="s">
        <v>1124</v>
      </c>
      <c r="O213" s="31">
        <f>13450</f>
        <v>13450</v>
      </c>
      <c r="P213" s="32" t="s">
        <v>778</v>
      </c>
      <c r="Q213" s="31">
        <f>13450</f>
        <v>13450</v>
      </c>
      <c r="R213" s="32" t="s">
        <v>778</v>
      </c>
      <c r="S213" s="33">
        <f>13493.33</f>
        <v>13493.33</v>
      </c>
      <c r="T213" s="30">
        <f>3</f>
        <v>3</v>
      </c>
      <c r="U213" s="30" t="str">
        <f>"－"</f>
        <v>－</v>
      </c>
      <c r="V213" s="30">
        <f>40480</f>
        <v>40480</v>
      </c>
      <c r="W213" s="30" t="str">
        <f>"－"</f>
        <v>－</v>
      </c>
      <c r="X213" s="34">
        <f>3</f>
        <v>3</v>
      </c>
    </row>
    <row r="214" spans="1:24">
      <c r="A214" s="25" t="s">
        <v>1246</v>
      </c>
      <c r="B214" s="25" t="s">
        <v>991</v>
      </c>
      <c r="C214" s="25" t="s">
        <v>992</v>
      </c>
      <c r="D214" s="25" t="s">
        <v>993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</v>
      </c>
      <c r="K214" s="31">
        <f>1165</f>
        <v>1165</v>
      </c>
      <c r="L214" s="32" t="s">
        <v>1116</v>
      </c>
      <c r="M214" s="31">
        <f>1219</f>
        <v>1219</v>
      </c>
      <c r="N214" s="32" t="s">
        <v>777</v>
      </c>
      <c r="O214" s="31">
        <f>1157</f>
        <v>1157</v>
      </c>
      <c r="P214" s="32" t="s">
        <v>680</v>
      </c>
      <c r="Q214" s="31">
        <f>1212</f>
        <v>1212</v>
      </c>
      <c r="R214" s="32" t="s">
        <v>777</v>
      </c>
      <c r="S214" s="33">
        <f>1184.24</f>
        <v>1184.24</v>
      </c>
      <c r="T214" s="30">
        <f>1299329</f>
        <v>1299329</v>
      </c>
      <c r="U214" s="30">
        <f>297241</f>
        <v>297241</v>
      </c>
      <c r="V214" s="30">
        <f>1547631603</f>
        <v>1547631603</v>
      </c>
      <c r="W214" s="30">
        <f>355987902</f>
        <v>355987902</v>
      </c>
      <c r="X214" s="34">
        <f>21</f>
        <v>21</v>
      </c>
    </row>
    <row r="215" spans="1:24">
      <c r="A215" s="25" t="s">
        <v>1246</v>
      </c>
      <c r="B215" s="25" t="s">
        <v>994</v>
      </c>
      <c r="C215" s="25" t="s">
        <v>995</v>
      </c>
      <c r="D215" s="25" t="s">
        <v>996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1185</f>
        <v>1185</v>
      </c>
      <c r="L215" s="32" t="s">
        <v>1116</v>
      </c>
      <c r="M215" s="31">
        <f>1272</f>
        <v>1272</v>
      </c>
      <c r="N215" s="32" t="s">
        <v>777</v>
      </c>
      <c r="O215" s="31">
        <f>1169</f>
        <v>1169</v>
      </c>
      <c r="P215" s="32" t="s">
        <v>684</v>
      </c>
      <c r="Q215" s="31">
        <f>1265</f>
        <v>1265</v>
      </c>
      <c r="R215" s="32" t="s">
        <v>777</v>
      </c>
      <c r="S215" s="33">
        <f>1239.38</f>
        <v>1239.3800000000001</v>
      </c>
      <c r="T215" s="30">
        <f>36559</f>
        <v>36559</v>
      </c>
      <c r="U215" s="30">
        <f>2</f>
        <v>2</v>
      </c>
      <c r="V215" s="30">
        <f>45396939</f>
        <v>45396939</v>
      </c>
      <c r="W215" s="30">
        <f>2530</f>
        <v>2530</v>
      </c>
      <c r="X215" s="34">
        <f>21</f>
        <v>21</v>
      </c>
    </row>
    <row r="216" spans="1:24">
      <c r="A216" s="25" t="s">
        <v>1246</v>
      </c>
      <c r="B216" s="25" t="s">
        <v>997</v>
      </c>
      <c r="C216" s="25" t="s">
        <v>998</v>
      </c>
      <c r="D216" s="25" t="s">
        <v>999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1039</f>
        <v>1039</v>
      </c>
      <c r="L216" s="32" t="s">
        <v>1116</v>
      </c>
      <c r="M216" s="31">
        <f>1056</f>
        <v>1056</v>
      </c>
      <c r="N216" s="32" t="s">
        <v>1145</v>
      </c>
      <c r="O216" s="31">
        <f>1002</f>
        <v>1002</v>
      </c>
      <c r="P216" s="32" t="s">
        <v>676</v>
      </c>
      <c r="Q216" s="31">
        <f>1032</f>
        <v>1032</v>
      </c>
      <c r="R216" s="32" t="s">
        <v>777</v>
      </c>
      <c r="S216" s="33">
        <f>1039.05</f>
        <v>1039.05</v>
      </c>
      <c r="T216" s="30">
        <f>5968</f>
        <v>5968</v>
      </c>
      <c r="U216" s="30" t="str">
        <f>"－"</f>
        <v>－</v>
      </c>
      <c r="V216" s="30">
        <f>6148563</f>
        <v>6148563</v>
      </c>
      <c r="W216" s="30" t="str">
        <f>"－"</f>
        <v>－</v>
      </c>
      <c r="X216" s="34">
        <f>21</f>
        <v>21</v>
      </c>
    </row>
    <row r="217" spans="1:24">
      <c r="A217" s="25" t="s">
        <v>1246</v>
      </c>
      <c r="B217" s="25" t="s">
        <v>1000</v>
      </c>
      <c r="C217" s="25" t="s">
        <v>1001</v>
      </c>
      <c r="D217" s="25" t="s">
        <v>1002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2141</f>
        <v>2141</v>
      </c>
      <c r="L217" s="32" t="s">
        <v>1116</v>
      </c>
      <c r="M217" s="31">
        <f>2283</f>
        <v>2283</v>
      </c>
      <c r="N217" s="32" t="s">
        <v>1111</v>
      </c>
      <c r="O217" s="31">
        <f>2126</f>
        <v>2126</v>
      </c>
      <c r="P217" s="32" t="s">
        <v>1145</v>
      </c>
      <c r="Q217" s="31">
        <f>2268</f>
        <v>2268</v>
      </c>
      <c r="R217" s="32" t="s">
        <v>777</v>
      </c>
      <c r="S217" s="33">
        <f>2210</f>
        <v>2210</v>
      </c>
      <c r="T217" s="30">
        <f>178519</f>
        <v>178519</v>
      </c>
      <c r="U217" s="30">
        <f>3</f>
        <v>3</v>
      </c>
      <c r="V217" s="30">
        <f>397753328</f>
        <v>397753328</v>
      </c>
      <c r="W217" s="30">
        <f>6804</f>
        <v>6804</v>
      </c>
      <c r="X217" s="34">
        <f>21</f>
        <v>21</v>
      </c>
    </row>
    <row r="218" spans="1:24">
      <c r="A218" s="25" t="s">
        <v>1246</v>
      </c>
      <c r="B218" s="25" t="s">
        <v>1003</v>
      </c>
      <c r="C218" s="25" t="s">
        <v>1004</v>
      </c>
      <c r="D218" s="25" t="s">
        <v>1005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2263</f>
        <v>2263</v>
      </c>
      <c r="L218" s="32" t="s">
        <v>1116</v>
      </c>
      <c r="M218" s="31">
        <f>2374</f>
        <v>2374</v>
      </c>
      <c r="N218" s="32" t="s">
        <v>777</v>
      </c>
      <c r="O218" s="31">
        <f>2256</f>
        <v>2256</v>
      </c>
      <c r="P218" s="32" t="s">
        <v>680</v>
      </c>
      <c r="Q218" s="31">
        <f>2357</f>
        <v>2357</v>
      </c>
      <c r="R218" s="32" t="s">
        <v>777</v>
      </c>
      <c r="S218" s="33">
        <f>2303.62</f>
        <v>2303.62</v>
      </c>
      <c r="T218" s="30">
        <f>355072</f>
        <v>355072</v>
      </c>
      <c r="U218" s="30">
        <f>130101</f>
        <v>130101</v>
      </c>
      <c r="V218" s="30">
        <f>821041634</f>
        <v>821041634</v>
      </c>
      <c r="W218" s="30">
        <f>300723427</f>
        <v>300723427</v>
      </c>
      <c r="X218" s="34">
        <f>21</f>
        <v>21</v>
      </c>
    </row>
    <row r="219" spans="1:24">
      <c r="A219" s="25" t="s">
        <v>1246</v>
      </c>
      <c r="B219" s="25" t="s">
        <v>1006</v>
      </c>
      <c r="C219" s="25" t="s">
        <v>1007</v>
      </c>
      <c r="D219" s="25" t="s">
        <v>1008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10</v>
      </c>
      <c r="K219" s="31">
        <f>538</f>
        <v>538</v>
      </c>
      <c r="L219" s="32" t="s">
        <v>1116</v>
      </c>
      <c r="M219" s="31">
        <f>561.8</f>
        <v>561.79999999999995</v>
      </c>
      <c r="N219" s="32" t="s">
        <v>777</v>
      </c>
      <c r="O219" s="31">
        <f>530</f>
        <v>530</v>
      </c>
      <c r="P219" s="32" t="s">
        <v>680</v>
      </c>
      <c r="Q219" s="31">
        <f>559.2</f>
        <v>559.20000000000005</v>
      </c>
      <c r="R219" s="32" t="s">
        <v>777</v>
      </c>
      <c r="S219" s="33">
        <f>541.71</f>
        <v>541.71</v>
      </c>
      <c r="T219" s="30">
        <f>790310</f>
        <v>790310</v>
      </c>
      <c r="U219" s="30">
        <f>20</f>
        <v>20</v>
      </c>
      <c r="V219" s="30">
        <f>428900002</f>
        <v>428900002</v>
      </c>
      <c r="W219" s="30">
        <f>11184</f>
        <v>11184</v>
      </c>
      <c r="X219" s="34">
        <f>21</f>
        <v>21</v>
      </c>
    </row>
    <row r="220" spans="1:24">
      <c r="A220" s="25" t="s">
        <v>1246</v>
      </c>
      <c r="B220" s="25" t="s">
        <v>1009</v>
      </c>
      <c r="C220" s="25" t="s">
        <v>1010</v>
      </c>
      <c r="D220" s="25" t="s">
        <v>1011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2556</f>
        <v>2556</v>
      </c>
      <c r="L220" s="32" t="s">
        <v>1116</v>
      </c>
      <c r="M220" s="31">
        <f>2618.5</f>
        <v>2618.5</v>
      </c>
      <c r="N220" s="32" t="s">
        <v>876</v>
      </c>
      <c r="O220" s="31">
        <f>2472</f>
        <v>2472</v>
      </c>
      <c r="P220" s="32" t="s">
        <v>1118</v>
      </c>
      <c r="Q220" s="31">
        <f>2523</f>
        <v>2523</v>
      </c>
      <c r="R220" s="32" t="s">
        <v>777</v>
      </c>
      <c r="S220" s="33">
        <f>2549.53</f>
        <v>2549.5300000000002</v>
      </c>
      <c r="T220" s="30">
        <f>798350</f>
        <v>798350</v>
      </c>
      <c r="U220" s="30">
        <f>588000</f>
        <v>588000</v>
      </c>
      <c r="V220" s="30">
        <f>2032536398</f>
        <v>2032536398</v>
      </c>
      <c r="W220" s="30">
        <f>1497939538</f>
        <v>1497939538</v>
      </c>
      <c r="X220" s="34">
        <f>16</f>
        <v>16</v>
      </c>
    </row>
    <row r="221" spans="1:24">
      <c r="A221" s="25" t="s">
        <v>1246</v>
      </c>
      <c r="B221" s="25" t="s">
        <v>1012</v>
      </c>
      <c r="C221" s="25" t="s">
        <v>1013</v>
      </c>
      <c r="D221" s="25" t="s">
        <v>1014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2602.5</f>
        <v>2602.5</v>
      </c>
      <c r="L221" s="32" t="s">
        <v>1116</v>
      </c>
      <c r="M221" s="31">
        <f>2824</f>
        <v>2824</v>
      </c>
      <c r="N221" s="32" t="s">
        <v>679</v>
      </c>
      <c r="O221" s="31">
        <f>2600</f>
        <v>2600</v>
      </c>
      <c r="P221" s="32" t="s">
        <v>1116</v>
      </c>
      <c r="Q221" s="31">
        <f>2667.5</f>
        <v>2667.5</v>
      </c>
      <c r="R221" s="32" t="s">
        <v>777</v>
      </c>
      <c r="S221" s="33">
        <f>2673.11</f>
        <v>2673.11</v>
      </c>
      <c r="T221" s="30">
        <f>521770</f>
        <v>521770</v>
      </c>
      <c r="U221" s="30">
        <f>378500</f>
        <v>378500</v>
      </c>
      <c r="V221" s="30">
        <f>1399796576</f>
        <v>1399796576</v>
      </c>
      <c r="W221" s="30">
        <f>1020897286</f>
        <v>1020897286</v>
      </c>
      <c r="X221" s="34">
        <f>14</f>
        <v>14</v>
      </c>
    </row>
    <row r="222" spans="1:24">
      <c r="A222" s="25" t="s">
        <v>1246</v>
      </c>
      <c r="B222" s="25" t="s">
        <v>1015</v>
      </c>
      <c r="C222" s="25" t="s">
        <v>1016</v>
      </c>
      <c r="D222" s="25" t="s">
        <v>1017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2408.5</f>
        <v>2408.5</v>
      </c>
      <c r="L222" s="32" t="s">
        <v>1145</v>
      </c>
      <c r="M222" s="31">
        <f>2458.5</f>
        <v>2458.5</v>
      </c>
      <c r="N222" s="32" t="s">
        <v>675</v>
      </c>
      <c r="O222" s="31">
        <f>2262</f>
        <v>2262</v>
      </c>
      <c r="P222" s="32" t="s">
        <v>1118</v>
      </c>
      <c r="Q222" s="31">
        <f>2293.5</f>
        <v>2293.5</v>
      </c>
      <c r="R222" s="32" t="s">
        <v>777</v>
      </c>
      <c r="S222" s="33">
        <f>2359.29</f>
        <v>2359.29</v>
      </c>
      <c r="T222" s="30">
        <f>81910</f>
        <v>81910</v>
      </c>
      <c r="U222" s="30" t="str">
        <f>"－"</f>
        <v>－</v>
      </c>
      <c r="V222" s="30">
        <f>189187290</f>
        <v>189187290</v>
      </c>
      <c r="W222" s="30" t="str">
        <f>"－"</f>
        <v>－</v>
      </c>
      <c r="X222" s="34">
        <f>14</f>
        <v>14</v>
      </c>
    </row>
    <row r="223" spans="1:24">
      <c r="A223" s="25" t="s">
        <v>1246</v>
      </c>
      <c r="B223" s="25" t="s">
        <v>1018</v>
      </c>
      <c r="C223" s="25" t="s">
        <v>1019</v>
      </c>
      <c r="D223" s="25" t="s">
        <v>1020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2400.5</f>
        <v>2400.5</v>
      </c>
      <c r="L223" s="32" t="s">
        <v>876</v>
      </c>
      <c r="M223" s="31">
        <f>2400.5</f>
        <v>2400.5</v>
      </c>
      <c r="N223" s="32" t="s">
        <v>876</v>
      </c>
      <c r="O223" s="31">
        <f>2360.5</f>
        <v>2360.5</v>
      </c>
      <c r="P223" s="32" t="s">
        <v>676</v>
      </c>
      <c r="Q223" s="31">
        <f>2360.5</f>
        <v>2360.5</v>
      </c>
      <c r="R223" s="32" t="s">
        <v>676</v>
      </c>
      <c r="S223" s="33">
        <f>2387.75</f>
        <v>2387.75</v>
      </c>
      <c r="T223" s="30">
        <f>130</f>
        <v>130</v>
      </c>
      <c r="U223" s="30" t="str">
        <f>"－"</f>
        <v>－</v>
      </c>
      <c r="V223" s="30">
        <f>311555</f>
        <v>311555</v>
      </c>
      <c r="W223" s="30" t="str">
        <f>"－"</f>
        <v>－</v>
      </c>
      <c r="X223" s="34">
        <f>4</f>
        <v>4</v>
      </c>
    </row>
    <row r="224" spans="1:24">
      <c r="A224" s="25" t="s">
        <v>1246</v>
      </c>
      <c r="B224" s="25" t="s">
        <v>1021</v>
      </c>
      <c r="C224" s="25" t="s">
        <v>1022</v>
      </c>
      <c r="D224" s="25" t="s">
        <v>1023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4866</f>
        <v>4866</v>
      </c>
      <c r="L224" s="32" t="s">
        <v>1124</v>
      </c>
      <c r="M224" s="31">
        <f>4866</f>
        <v>4866</v>
      </c>
      <c r="N224" s="32" t="s">
        <v>1124</v>
      </c>
      <c r="O224" s="31">
        <f>4718</f>
        <v>4718</v>
      </c>
      <c r="P224" s="32" t="s">
        <v>676</v>
      </c>
      <c r="Q224" s="31">
        <f>4718</f>
        <v>4718</v>
      </c>
      <c r="R224" s="32" t="s">
        <v>676</v>
      </c>
      <c r="S224" s="33">
        <f>4765.25</f>
        <v>4765.25</v>
      </c>
      <c r="T224" s="30">
        <f>170</f>
        <v>170</v>
      </c>
      <c r="U224" s="30" t="str">
        <f>"－"</f>
        <v>－</v>
      </c>
      <c r="V224" s="30">
        <f>807310</f>
        <v>807310</v>
      </c>
      <c r="W224" s="30" t="str">
        <f>"－"</f>
        <v>－</v>
      </c>
      <c r="X224" s="34">
        <f>4</f>
        <v>4</v>
      </c>
    </row>
    <row r="225" spans="1:24">
      <c r="A225" s="25" t="s">
        <v>1246</v>
      </c>
      <c r="B225" s="25" t="s">
        <v>1024</v>
      </c>
      <c r="C225" s="25" t="s">
        <v>1025</v>
      </c>
      <c r="D225" s="25" t="s">
        <v>1026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4987</f>
        <v>4987</v>
      </c>
      <c r="L225" s="32" t="s">
        <v>1116</v>
      </c>
      <c r="M225" s="31">
        <f>4987</f>
        <v>4987</v>
      </c>
      <c r="N225" s="32" t="s">
        <v>1116</v>
      </c>
      <c r="O225" s="31">
        <f>4987</f>
        <v>4987</v>
      </c>
      <c r="P225" s="32" t="s">
        <v>1116</v>
      </c>
      <c r="Q225" s="31">
        <f>4987</f>
        <v>4987</v>
      </c>
      <c r="R225" s="32" t="s">
        <v>1116</v>
      </c>
      <c r="S225" s="33">
        <f>4987</f>
        <v>4987</v>
      </c>
      <c r="T225" s="30">
        <f>90</f>
        <v>90</v>
      </c>
      <c r="U225" s="30">
        <f>10</f>
        <v>10</v>
      </c>
      <c r="V225" s="30">
        <f>448010</f>
        <v>448010</v>
      </c>
      <c r="W225" s="30">
        <f>49050</f>
        <v>49050</v>
      </c>
      <c r="X225" s="34">
        <f>1</f>
        <v>1</v>
      </c>
    </row>
    <row r="226" spans="1:24">
      <c r="A226" s="25" t="s">
        <v>1246</v>
      </c>
      <c r="B226" s="25" t="s">
        <v>1027</v>
      </c>
      <c r="C226" s="25" t="s">
        <v>1028</v>
      </c>
      <c r="D226" s="25" t="s">
        <v>1029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4966</f>
        <v>4966</v>
      </c>
      <c r="L226" s="32" t="s">
        <v>1116</v>
      </c>
      <c r="M226" s="31">
        <f>4966</f>
        <v>4966</v>
      </c>
      <c r="N226" s="32" t="s">
        <v>1116</v>
      </c>
      <c r="O226" s="31">
        <f>4966</f>
        <v>4966</v>
      </c>
      <c r="P226" s="32" t="s">
        <v>1116</v>
      </c>
      <c r="Q226" s="31">
        <f>4966</f>
        <v>4966</v>
      </c>
      <c r="R226" s="32" t="s">
        <v>1116</v>
      </c>
      <c r="S226" s="33">
        <f>4966</f>
        <v>4966</v>
      </c>
      <c r="T226" s="30">
        <f>90</f>
        <v>90</v>
      </c>
      <c r="U226" s="30">
        <f>10</f>
        <v>10</v>
      </c>
      <c r="V226" s="30">
        <f>446940</f>
        <v>446940</v>
      </c>
      <c r="W226" s="30">
        <f>49660</f>
        <v>49660</v>
      </c>
      <c r="X226" s="34">
        <f>1</f>
        <v>1</v>
      </c>
    </row>
    <row r="227" spans="1:24">
      <c r="A227" s="25" t="s">
        <v>1246</v>
      </c>
      <c r="B227" s="25" t="s">
        <v>1053</v>
      </c>
      <c r="C227" s="25" t="s">
        <v>1052</v>
      </c>
      <c r="D227" s="25" t="s">
        <v>1051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5017</f>
        <v>5017</v>
      </c>
      <c r="L227" s="32" t="s">
        <v>1116</v>
      </c>
      <c r="M227" s="31">
        <f>5334</f>
        <v>5334</v>
      </c>
      <c r="N227" s="32" t="s">
        <v>777</v>
      </c>
      <c r="O227" s="31">
        <f>4998</f>
        <v>4998</v>
      </c>
      <c r="P227" s="32" t="s">
        <v>675</v>
      </c>
      <c r="Q227" s="31">
        <f>5291</f>
        <v>5291</v>
      </c>
      <c r="R227" s="32" t="s">
        <v>777</v>
      </c>
      <c r="S227" s="33">
        <f>5138.57</f>
        <v>5138.57</v>
      </c>
      <c r="T227" s="30">
        <f>351760</f>
        <v>351760</v>
      </c>
      <c r="U227" s="30">
        <f>209000</f>
        <v>209000</v>
      </c>
      <c r="V227" s="30">
        <f>1830607519</f>
        <v>1830607519</v>
      </c>
      <c r="W227" s="30">
        <f>1088055549</f>
        <v>1088055549</v>
      </c>
      <c r="X227" s="34">
        <f>21</f>
        <v>21</v>
      </c>
    </row>
    <row r="228" spans="1:24">
      <c r="A228" s="25" t="s">
        <v>1246</v>
      </c>
      <c r="B228" s="25" t="s">
        <v>1050</v>
      </c>
      <c r="C228" s="25" t="s">
        <v>1049</v>
      </c>
      <c r="D228" s="25" t="s">
        <v>1048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</v>
      </c>
      <c r="K228" s="31">
        <f>987</f>
        <v>987</v>
      </c>
      <c r="L228" s="32" t="s">
        <v>1116</v>
      </c>
      <c r="M228" s="31">
        <f>1018</f>
        <v>1018</v>
      </c>
      <c r="N228" s="32" t="s">
        <v>680</v>
      </c>
      <c r="O228" s="31">
        <f>978</f>
        <v>978</v>
      </c>
      <c r="P228" s="32" t="s">
        <v>777</v>
      </c>
      <c r="Q228" s="31">
        <f>985</f>
        <v>985</v>
      </c>
      <c r="R228" s="32" t="s">
        <v>777</v>
      </c>
      <c r="S228" s="33">
        <f>1002</f>
        <v>1002</v>
      </c>
      <c r="T228" s="30">
        <f>360512</f>
        <v>360512</v>
      </c>
      <c r="U228" s="30">
        <f>306000</f>
        <v>306000</v>
      </c>
      <c r="V228" s="30">
        <f>357606741</f>
        <v>357606741</v>
      </c>
      <c r="W228" s="30">
        <f>302960502</f>
        <v>302960502</v>
      </c>
      <c r="X228" s="34">
        <f>21</f>
        <v>21</v>
      </c>
    </row>
    <row r="229" spans="1:24">
      <c r="A229" s="25" t="s">
        <v>1246</v>
      </c>
      <c r="B229" s="25" t="s">
        <v>1047</v>
      </c>
      <c r="C229" s="25" t="s">
        <v>1046</v>
      </c>
      <c r="D229" s="25" t="s">
        <v>1045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1200</f>
        <v>1200</v>
      </c>
      <c r="L229" s="32" t="s">
        <v>1116</v>
      </c>
      <c r="M229" s="31">
        <f>1200</f>
        <v>1200</v>
      </c>
      <c r="N229" s="32" t="s">
        <v>1116</v>
      </c>
      <c r="O229" s="31">
        <f>1090</f>
        <v>1090</v>
      </c>
      <c r="P229" s="32" t="s">
        <v>683</v>
      </c>
      <c r="Q229" s="31">
        <f>1104</f>
        <v>1104</v>
      </c>
      <c r="R229" s="32" t="s">
        <v>777</v>
      </c>
      <c r="S229" s="33">
        <f>1143.1</f>
        <v>1143.0999999999999</v>
      </c>
      <c r="T229" s="30">
        <f>312540</f>
        <v>312540</v>
      </c>
      <c r="U229" s="30">
        <f>257000</f>
        <v>257000</v>
      </c>
      <c r="V229" s="30">
        <f>361773983</f>
        <v>361773983</v>
      </c>
      <c r="W229" s="30">
        <f>299651180</f>
        <v>299651180</v>
      </c>
      <c r="X229" s="34">
        <f>21</f>
        <v>21</v>
      </c>
    </row>
    <row r="230" spans="1:24">
      <c r="A230" s="25" t="s">
        <v>1246</v>
      </c>
      <c r="B230" s="25" t="s">
        <v>1044</v>
      </c>
      <c r="C230" s="25" t="s">
        <v>1043</v>
      </c>
      <c r="D230" s="25" t="s">
        <v>1042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944</f>
        <v>944</v>
      </c>
      <c r="L230" s="32" t="s">
        <v>1116</v>
      </c>
      <c r="M230" s="31">
        <f>944</f>
        <v>944</v>
      </c>
      <c r="N230" s="32" t="s">
        <v>1116</v>
      </c>
      <c r="O230" s="31">
        <f>912</f>
        <v>912</v>
      </c>
      <c r="P230" s="32" t="s">
        <v>680</v>
      </c>
      <c r="Q230" s="31">
        <f>934</f>
        <v>934</v>
      </c>
      <c r="R230" s="32" t="s">
        <v>777</v>
      </c>
      <c r="S230" s="33">
        <f>928.05</f>
        <v>928.05</v>
      </c>
      <c r="T230" s="30">
        <f>302701</f>
        <v>302701</v>
      </c>
      <c r="U230" s="30">
        <f>120000</f>
        <v>120000</v>
      </c>
      <c r="V230" s="30">
        <f>280448105</f>
        <v>280448105</v>
      </c>
      <c r="W230" s="30">
        <f>111126624</f>
        <v>111126624</v>
      </c>
      <c r="X230" s="34">
        <f>21</f>
        <v>21</v>
      </c>
    </row>
    <row r="231" spans="1:24">
      <c r="A231" s="25" t="s">
        <v>1246</v>
      </c>
      <c r="B231" s="25" t="s">
        <v>1041</v>
      </c>
      <c r="C231" s="25" t="s">
        <v>1040</v>
      </c>
      <c r="D231" s="25" t="s">
        <v>1039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914</f>
        <v>914</v>
      </c>
      <c r="L231" s="32" t="s">
        <v>1116</v>
      </c>
      <c r="M231" s="31">
        <f>915</f>
        <v>915</v>
      </c>
      <c r="N231" s="32" t="s">
        <v>777</v>
      </c>
      <c r="O231" s="31">
        <f>879</f>
        <v>879</v>
      </c>
      <c r="P231" s="32" t="s">
        <v>760</v>
      </c>
      <c r="Q231" s="31">
        <f>906</f>
        <v>906</v>
      </c>
      <c r="R231" s="32" t="s">
        <v>777</v>
      </c>
      <c r="S231" s="33">
        <f>892.76</f>
        <v>892.76</v>
      </c>
      <c r="T231" s="30">
        <f>97157</f>
        <v>97157</v>
      </c>
      <c r="U231" s="30" t="str">
        <f>"－"</f>
        <v>－</v>
      </c>
      <c r="V231" s="30">
        <f>86691438</f>
        <v>86691438</v>
      </c>
      <c r="W231" s="30" t="str">
        <f>"－"</f>
        <v>－</v>
      </c>
      <c r="X231" s="34">
        <f>21</f>
        <v>21</v>
      </c>
    </row>
    <row r="232" spans="1:24">
      <c r="A232" s="25" t="s">
        <v>1246</v>
      </c>
      <c r="B232" s="25" t="s">
        <v>1038</v>
      </c>
      <c r="C232" s="25" t="s">
        <v>1037</v>
      </c>
      <c r="D232" s="25" t="s">
        <v>1036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948</f>
        <v>948</v>
      </c>
      <c r="L232" s="32" t="s">
        <v>1116</v>
      </c>
      <c r="M232" s="31">
        <f>978</f>
        <v>978</v>
      </c>
      <c r="N232" s="32" t="s">
        <v>777</v>
      </c>
      <c r="O232" s="31">
        <f>930</f>
        <v>930</v>
      </c>
      <c r="P232" s="32" t="s">
        <v>680</v>
      </c>
      <c r="Q232" s="31">
        <f>970</f>
        <v>970</v>
      </c>
      <c r="R232" s="32" t="s">
        <v>777</v>
      </c>
      <c r="S232" s="33">
        <f>948.05</f>
        <v>948.05</v>
      </c>
      <c r="T232" s="30">
        <f>57689</f>
        <v>57689</v>
      </c>
      <c r="U232" s="30" t="str">
        <f>"－"</f>
        <v>－</v>
      </c>
      <c r="V232" s="30">
        <f>54738986</f>
        <v>54738986</v>
      </c>
      <c r="W232" s="30" t="str">
        <f>"－"</f>
        <v>－</v>
      </c>
      <c r="X232" s="34">
        <f>21</f>
        <v>21</v>
      </c>
    </row>
    <row r="233" spans="1:24">
      <c r="A233" s="25" t="s">
        <v>1246</v>
      </c>
      <c r="B233" s="25" t="s">
        <v>1181</v>
      </c>
      <c r="C233" s="25" t="s">
        <v>1182</v>
      </c>
      <c r="D233" s="25" t="s">
        <v>1183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1460</f>
        <v>1460</v>
      </c>
      <c r="L233" s="32" t="s">
        <v>1116</v>
      </c>
      <c r="M233" s="31">
        <f>1465</f>
        <v>1465</v>
      </c>
      <c r="N233" s="32" t="s">
        <v>777</v>
      </c>
      <c r="O233" s="31">
        <f>1400</f>
        <v>1400</v>
      </c>
      <c r="P233" s="32" t="s">
        <v>680</v>
      </c>
      <c r="Q233" s="31">
        <f>1460</f>
        <v>1460</v>
      </c>
      <c r="R233" s="32" t="s">
        <v>777</v>
      </c>
      <c r="S233" s="33">
        <f>1426.48</f>
        <v>1426.48</v>
      </c>
      <c r="T233" s="30">
        <f>549724</f>
        <v>549724</v>
      </c>
      <c r="U233" s="30">
        <f>262512</f>
        <v>262512</v>
      </c>
      <c r="V233" s="30">
        <f>778895924</f>
        <v>778895924</v>
      </c>
      <c r="W233" s="30">
        <f>369967610</f>
        <v>369967610</v>
      </c>
      <c r="X233" s="34">
        <f>21</f>
        <v>21</v>
      </c>
    </row>
    <row r="234" spans="1:24">
      <c r="A234" s="25" t="s">
        <v>1246</v>
      </c>
      <c r="B234" s="25" t="s">
        <v>1200</v>
      </c>
      <c r="C234" s="25" t="s">
        <v>1199</v>
      </c>
      <c r="D234" s="25" t="s">
        <v>1198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10</v>
      </c>
      <c r="K234" s="31">
        <f>145.4</f>
        <v>145.4</v>
      </c>
      <c r="L234" s="32" t="s">
        <v>1116</v>
      </c>
      <c r="M234" s="31">
        <f>152.5</f>
        <v>152.5</v>
      </c>
      <c r="N234" s="32" t="s">
        <v>675</v>
      </c>
      <c r="O234" s="31">
        <f>143</f>
        <v>143</v>
      </c>
      <c r="P234" s="32" t="s">
        <v>680</v>
      </c>
      <c r="Q234" s="31">
        <f>149.6</f>
        <v>149.6</v>
      </c>
      <c r="R234" s="32" t="s">
        <v>777</v>
      </c>
      <c r="S234" s="33">
        <f>148.04</f>
        <v>148.04</v>
      </c>
      <c r="T234" s="30">
        <f>3773890</f>
        <v>3773890</v>
      </c>
      <c r="U234" s="30">
        <f>2000120</f>
        <v>2000120</v>
      </c>
      <c r="V234" s="30">
        <f>565152825</f>
        <v>565152825</v>
      </c>
      <c r="W234" s="30">
        <f>301957652</f>
        <v>301957652</v>
      </c>
      <c r="X234" s="34">
        <f>21</f>
        <v>21</v>
      </c>
    </row>
    <row r="235" spans="1:24">
      <c r="A235" s="25" t="s">
        <v>1246</v>
      </c>
      <c r="B235" s="25" t="s">
        <v>1196</v>
      </c>
      <c r="C235" s="25" t="s">
        <v>1195</v>
      </c>
      <c r="D235" s="25" t="s">
        <v>1194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416.8</f>
        <v>416.8</v>
      </c>
      <c r="L235" s="32" t="s">
        <v>1116</v>
      </c>
      <c r="M235" s="31">
        <f>434.4</f>
        <v>434.4</v>
      </c>
      <c r="N235" s="32" t="s">
        <v>675</v>
      </c>
      <c r="O235" s="31">
        <f>407</f>
        <v>407</v>
      </c>
      <c r="P235" s="32" t="s">
        <v>680</v>
      </c>
      <c r="Q235" s="31">
        <f>425.2</f>
        <v>425.2</v>
      </c>
      <c r="R235" s="32" t="s">
        <v>777</v>
      </c>
      <c r="S235" s="33">
        <f>421.36</f>
        <v>421.36</v>
      </c>
      <c r="T235" s="30">
        <f>356210</f>
        <v>356210</v>
      </c>
      <c r="U235" s="30" t="str">
        <f>"－"</f>
        <v>－</v>
      </c>
      <c r="V235" s="30">
        <f>150006852</f>
        <v>150006852</v>
      </c>
      <c r="W235" s="30" t="str">
        <f>"－"</f>
        <v>－</v>
      </c>
      <c r="X235" s="34">
        <f>21</f>
        <v>21</v>
      </c>
    </row>
    <row r="236" spans="1:24">
      <c r="A236" s="25" t="s">
        <v>1246</v>
      </c>
      <c r="B236" s="25" t="s">
        <v>868</v>
      </c>
      <c r="C236" s="25" t="s">
        <v>869</v>
      </c>
      <c r="D236" s="25" t="s">
        <v>870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10</v>
      </c>
      <c r="K236" s="31">
        <f>2944.5</f>
        <v>2944.5</v>
      </c>
      <c r="L236" s="32" t="s">
        <v>1116</v>
      </c>
      <c r="M236" s="31">
        <f>2988.5</f>
        <v>2988.5</v>
      </c>
      <c r="N236" s="32" t="s">
        <v>1111</v>
      </c>
      <c r="O236" s="31">
        <f>2862.5</f>
        <v>2862.5</v>
      </c>
      <c r="P236" s="32" t="s">
        <v>680</v>
      </c>
      <c r="Q236" s="31">
        <f>2967</f>
        <v>2967</v>
      </c>
      <c r="R236" s="32" t="s">
        <v>777</v>
      </c>
      <c r="S236" s="33">
        <f>2941.26</f>
        <v>2941.26</v>
      </c>
      <c r="T236" s="30">
        <f>285330</f>
        <v>285330</v>
      </c>
      <c r="U236" s="30">
        <f>142120</f>
        <v>142120</v>
      </c>
      <c r="V236" s="30">
        <f>840084575</f>
        <v>840084575</v>
      </c>
      <c r="W236" s="30">
        <f>418828545</f>
        <v>418828545</v>
      </c>
      <c r="X236" s="34">
        <f>21</f>
        <v>21</v>
      </c>
    </row>
    <row r="237" spans="1:24">
      <c r="A237" s="25" t="s">
        <v>1246</v>
      </c>
      <c r="B237" s="25" t="s">
        <v>871</v>
      </c>
      <c r="C237" s="25" t="s">
        <v>872</v>
      </c>
      <c r="D237" s="25" t="s">
        <v>873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</v>
      </c>
      <c r="K237" s="31">
        <f>1322</f>
        <v>1322</v>
      </c>
      <c r="L237" s="32" t="s">
        <v>1116</v>
      </c>
      <c r="M237" s="31">
        <f>1327</f>
        <v>1327</v>
      </c>
      <c r="N237" s="32" t="s">
        <v>1116</v>
      </c>
      <c r="O237" s="31">
        <f>1262</f>
        <v>1262</v>
      </c>
      <c r="P237" s="32" t="s">
        <v>680</v>
      </c>
      <c r="Q237" s="31">
        <f>1295</f>
        <v>1295</v>
      </c>
      <c r="R237" s="32" t="s">
        <v>777</v>
      </c>
      <c r="S237" s="33">
        <f>1298.9</f>
        <v>1298.9000000000001</v>
      </c>
      <c r="T237" s="30">
        <f>951346</f>
        <v>951346</v>
      </c>
      <c r="U237" s="30">
        <f>430219</f>
        <v>430219</v>
      </c>
      <c r="V237" s="30">
        <f>1237968330</f>
        <v>1237968330</v>
      </c>
      <c r="W237" s="30">
        <f>558340494</f>
        <v>558340494</v>
      </c>
      <c r="X237" s="34">
        <f>21</f>
        <v>21</v>
      </c>
    </row>
    <row r="238" spans="1:24">
      <c r="A238" s="25" t="s">
        <v>1246</v>
      </c>
      <c r="B238" s="25" t="s">
        <v>877</v>
      </c>
      <c r="C238" s="25" t="s">
        <v>878</v>
      </c>
      <c r="D238" s="25" t="s">
        <v>879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91340</f>
        <v>91340</v>
      </c>
      <c r="L238" s="32" t="s">
        <v>1116</v>
      </c>
      <c r="M238" s="31">
        <f>93120</f>
        <v>93120</v>
      </c>
      <c r="N238" s="32" t="s">
        <v>876</v>
      </c>
      <c r="O238" s="31">
        <f>84850</f>
        <v>84850</v>
      </c>
      <c r="P238" s="32" t="s">
        <v>1118</v>
      </c>
      <c r="Q238" s="31">
        <f>88230</f>
        <v>88230</v>
      </c>
      <c r="R238" s="32" t="s">
        <v>777</v>
      </c>
      <c r="S238" s="33">
        <f>90770.48</f>
        <v>90770.48</v>
      </c>
      <c r="T238" s="30">
        <f>35492</f>
        <v>35492</v>
      </c>
      <c r="U238" s="30">
        <f>6</f>
        <v>6</v>
      </c>
      <c r="V238" s="30">
        <f>3180140570</f>
        <v>3180140570</v>
      </c>
      <c r="W238" s="30">
        <f>535470</f>
        <v>535470</v>
      </c>
      <c r="X238" s="34">
        <f>21</f>
        <v>21</v>
      </c>
    </row>
    <row r="239" spans="1:24">
      <c r="A239" s="25" t="s">
        <v>1246</v>
      </c>
      <c r="B239" s="25" t="s">
        <v>880</v>
      </c>
      <c r="C239" s="25" t="s">
        <v>881</v>
      </c>
      <c r="D239" s="25" t="s">
        <v>882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6652</f>
        <v>6652</v>
      </c>
      <c r="L239" s="32" t="s">
        <v>1116</v>
      </c>
      <c r="M239" s="31">
        <f>6893</f>
        <v>6893</v>
      </c>
      <c r="N239" s="32" t="s">
        <v>1118</v>
      </c>
      <c r="O239" s="31">
        <f>6500</f>
        <v>6500</v>
      </c>
      <c r="P239" s="32" t="s">
        <v>683</v>
      </c>
      <c r="Q239" s="31">
        <f>6762</f>
        <v>6762</v>
      </c>
      <c r="R239" s="32" t="s">
        <v>777</v>
      </c>
      <c r="S239" s="33">
        <f>6666.81</f>
        <v>6666.81</v>
      </c>
      <c r="T239" s="30">
        <f>72480</f>
        <v>72480</v>
      </c>
      <c r="U239" s="30">
        <f>17803</f>
        <v>17803</v>
      </c>
      <c r="V239" s="30">
        <f>487649331</f>
        <v>487649331</v>
      </c>
      <c r="W239" s="30">
        <f>119308799</f>
        <v>119308799</v>
      </c>
      <c r="X239" s="34">
        <f>21</f>
        <v>21</v>
      </c>
    </row>
    <row r="240" spans="1:24">
      <c r="A240" s="25" t="s">
        <v>1246</v>
      </c>
      <c r="B240" s="25" t="s">
        <v>884</v>
      </c>
      <c r="C240" s="25" t="s">
        <v>885</v>
      </c>
      <c r="D240" s="25" t="s">
        <v>886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10</v>
      </c>
      <c r="K240" s="31">
        <f>19790</f>
        <v>19790</v>
      </c>
      <c r="L240" s="32" t="s">
        <v>1116</v>
      </c>
      <c r="M240" s="31">
        <f>20145</f>
        <v>20145</v>
      </c>
      <c r="N240" s="32" t="s">
        <v>876</v>
      </c>
      <c r="O240" s="31">
        <f>18380</f>
        <v>18380</v>
      </c>
      <c r="P240" s="32" t="s">
        <v>1118</v>
      </c>
      <c r="Q240" s="31">
        <f>19100</f>
        <v>19100</v>
      </c>
      <c r="R240" s="32" t="s">
        <v>777</v>
      </c>
      <c r="S240" s="33">
        <f>19673.1</f>
        <v>19673.099999999999</v>
      </c>
      <c r="T240" s="30">
        <f>127870</f>
        <v>127870</v>
      </c>
      <c r="U240" s="30">
        <f>10</f>
        <v>10</v>
      </c>
      <c r="V240" s="30">
        <f>2477157900</f>
        <v>2477157900</v>
      </c>
      <c r="W240" s="30">
        <f>191000</f>
        <v>191000</v>
      </c>
      <c r="X240" s="34">
        <f>21</f>
        <v>21</v>
      </c>
    </row>
    <row r="241" spans="1:24">
      <c r="A241" s="25" t="s">
        <v>1246</v>
      </c>
      <c r="B241" s="25" t="s">
        <v>1192</v>
      </c>
      <c r="C241" s="25" t="s">
        <v>1191</v>
      </c>
      <c r="D241" s="25" t="s">
        <v>1190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1043</f>
        <v>1043</v>
      </c>
      <c r="L241" s="32" t="s">
        <v>1116</v>
      </c>
      <c r="M241" s="31">
        <f>1139</f>
        <v>1139</v>
      </c>
      <c r="N241" s="32" t="s">
        <v>679</v>
      </c>
      <c r="O241" s="31">
        <f>1042</f>
        <v>1042</v>
      </c>
      <c r="P241" s="32" t="s">
        <v>1116</v>
      </c>
      <c r="Q241" s="31">
        <f>1115</f>
        <v>1115</v>
      </c>
      <c r="R241" s="32" t="s">
        <v>777</v>
      </c>
      <c r="S241" s="33">
        <f>1097.19</f>
        <v>1097.19</v>
      </c>
      <c r="T241" s="30">
        <f>317443</f>
        <v>317443</v>
      </c>
      <c r="U241" s="30" t="str">
        <f>"－"</f>
        <v>－</v>
      </c>
      <c r="V241" s="30">
        <f>351220543</f>
        <v>351220543</v>
      </c>
      <c r="W241" s="30" t="str">
        <f>"－"</f>
        <v>－</v>
      </c>
      <c r="X241" s="34">
        <f>21</f>
        <v>21</v>
      </c>
    </row>
    <row r="242" spans="1:24">
      <c r="A242" s="25" t="s">
        <v>1246</v>
      </c>
      <c r="B242" s="25" t="s">
        <v>887</v>
      </c>
      <c r="C242" s="25" t="s">
        <v>888</v>
      </c>
      <c r="D242" s="25" t="s">
        <v>889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10</v>
      </c>
      <c r="K242" s="31">
        <f>6713</f>
        <v>6713</v>
      </c>
      <c r="L242" s="32" t="s">
        <v>1116</v>
      </c>
      <c r="M242" s="31">
        <f>6959</f>
        <v>6959</v>
      </c>
      <c r="N242" s="32" t="s">
        <v>679</v>
      </c>
      <c r="O242" s="31">
        <f>6652</f>
        <v>6652</v>
      </c>
      <c r="P242" s="32" t="s">
        <v>876</v>
      </c>
      <c r="Q242" s="31">
        <f>6810</f>
        <v>6810</v>
      </c>
      <c r="R242" s="32" t="s">
        <v>777</v>
      </c>
      <c r="S242" s="33">
        <f>6728.67</f>
        <v>6728.67</v>
      </c>
      <c r="T242" s="30">
        <f>62210</f>
        <v>62210</v>
      </c>
      <c r="U242" s="30">
        <f>49100</f>
        <v>49100</v>
      </c>
      <c r="V242" s="30">
        <f>417167513</f>
        <v>417167513</v>
      </c>
      <c r="W242" s="30">
        <f>328168793</f>
        <v>328168793</v>
      </c>
      <c r="X242" s="34">
        <f>21</f>
        <v>21</v>
      </c>
    </row>
    <row r="243" spans="1:24">
      <c r="A243" s="25" t="s">
        <v>1246</v>
      </c>
      <c r="B243" s="25" t="s">
        <v>890</v>
      </c>
      <c r="C243" s="25" t="s">
        <v>891</v>
      </c>
      <c r="D243" s="25" t="s">
        <v>892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751.1</f>
        <v>751.1</v>
      </c>
      <c r="L243" s="32" t="s">
        <v>1116</v>
      </c>
      <c r="M243" s="31">
        <f>767.4</f>
        <v>767.4</v>
      </c>
      <c r="N243" s="32" t="s">
        <v>1111</v>
      </c>
      <c r="O243" s="31">
        <f>730</f>
        <v>730</v>
      </c>
      <c r="P243" s="32" t="s">
        <v>680</v>
      </c>
      <c r="Q243" s="31">
        <f>757</f>
        <v>757</v>
      </c>
      <c r="R243" s="32" t="s">
        <v>777</v>
      </c>
      <c r="S243" s="33">
        <f>749.98</f>
        <v>749.98</v>
      </c>
      <c r="T243" s="30">
        <f>2417620</f>
        <v>2417620</v>
      </c>
      <c r="U243" s="30">
        <f>2015360</f>
        <v>2015360</v>
      </c>
      <c r="V243" s="30">
        <f>1801247992</f>
        <v>1801247992</v>
      </c>
      <c r="W243" s="30">
        <f>1500111166</f>
        <v>1500111166</v>
      </c>
      <c r="X243" s="34">
        <f>21</f>
        <v>21</v>
      </c>
    </row>
    <row r="244" spans="1:24">
      <c r="A244" s="25" t="s">
        <v>1246</v>
      </c>
      <c r="B244" s="25" t="s">
        <v>893</v>
      </c>
      <c r="C244" s="25" t="s">
        <v>894</v>
      </c>
      <c r="D244" s="25" t="s">
        <v>895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615.2</f>
        <v>615.20000000000005</v>
      </c>
      <c r="L244" s="32" t="s">
        <v>1116</v>
      </c>
      <c r="M244" s="31">
        <f>616.8</f>
        <v>616.79999999999995</v>
      </c>
      <c r="N244" s="32" t="s">
        <v>674</v>
      </c>
      <c r="O244" s="31">
        <f>575.1</f>
        <v>575.1</v>
      </c>
      <c r="P244" s="32" t="s">
        <v>1118</v>
      </c>
      <c r="Q244" s="31">
        <f>585</f>
        <v>585</v>
      </c>
      <c r="R244" s="32" t="s">
        <v>777</v>
      </c>
      <c r="S244" s="33">
        <f>599.59</f>
        <v>599.59</v>
      </c>
      <c r="T244" s="30">
        <f>7598000</f>
        <v>7598000</v>
      </c>
      <c r="U244" s="30">
        <f>7116030</f>
        <v>7116030</v>
      </c>
      <c r="V244" s="30">
        <f>4449202132</f>
        <v>4449202132</v>
      </c>
      <c r="W244" s="30">
        <f>4162592721</f>
        <v>4162592721</v>
      </c>
      <c r="X244" s="34">
        <f>21</f>
        <v>21</v>
      </c>
    </row>
    <row r="245" spans="1:24">
      <c r="A245" s="25" t="s">
        <v>1246</v>
      </c>
      <c r="B245" s="25" t="s">
        <v>934</v>
      </c>
      <c r="C245" s="25" t="s">
        <v>935</v>
      </c>
      <c r="D245" s="25" t="s">
        <v>936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</v>
      </c>
      <c r="K245" s="31">
        <f>1765</f>
        <v>1765</v>
      </c>
      <c r="L245" s="32" t="s">
        <v>1116</v>
      </c>
      <c r="M245" s="31">
        <f>1956</f>
        <v>1956</v>
      </c>
      <c r="N245" s="32" t="s">
        <v>676</v>
      </c>
      <c r="O245" s="31">
        <f>1764</f>
        <v>1764</v>
      </c>
      <c r="P245" s="32" t="s">
        <v>1116</v>
      </c>
      <c r="Q245" s="31">
        <f>1934</f>
        <v>1934</v>
      </c>
      <c r="R245" s="32" t="s">
        <v>777</v>
      </c>
      <c r="S245" s="33">
        <f>1864.05</f>
        <v>1864.05</v>
      </c>
      <c r="T245" s="30">
        <f>7002187</f>
        <v>7002187</v>
      </c>
      <c r="U245" s="30">
        <f>1147263</f>
        <v>1147263</v>
      </c>
      <c r="V245" s="30">
        <f>13062243133</f>
        <v>13062243133</v>
      </c>
      <c r="W245" s="30">
        <f>2086156215</f>
        <v>2086156215</v>
      </c>
      <c r="X245" s="34">
        <f>21</f>
        <v>21</v>
      </c>
    </row>
    <row r="246" spans="1:24">
      <c r="A246" s="25" t="s">
        <v>1246</v>
      </c>
      <c r="B246" s="25" t="s">
        <v>937</v>
      </c>
      <c r="C246" s="25" t="s">
        <v>938</v>
      </c>
      <c r="D246" s="25" t="s">
        <v>939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2254</f>
        <v>2254</v>
      </c>
      <c r="L246" s="32" t="s">
        <v>1116</v>
      </c>
      <c r="M246" s="31">
        <f>2626</f>
        <v>2626</v>
      </c>
      <c r="N246" s="32" t="s">
        <v>676</v>
      </c>
      <c r="O246" s="31">
        <f>2254</f>
        <v>2254</v>
      </c>
      <c r="P246" s="32" t="s">
        <v>1116</v>
      </c>
      <c r="Q246" s="31">
        <f>2583</f>
        <v>2583</v>
      </c>
      <c r="R246" s="32" t="s">
        <v>777</v>
      </c>
      <c r="S246" s="33">
        <f>2472.1</f>
        <v>2472.1</v>
      </c>
      <c r="T246" s="30">
        <f>12106205</f>
        <v>12106205</v>
      </c>
      <c r="U246" s="30">
        <f>232578</f>
        <v>232578</v>
      </c>
      <c r="V246" s="30">
        <f>30328548901</f>
        <v>30328548901</v>
      </c>
      <c r="W246" s="30">
        <f>582215239</f>
        <v>582215239</v>
      </c>
      <c r="X246" s="34">
        <f>21</f>
        <v>21</v>
      </c>
    </row>
    <row r="247" spans="1:24">
      <c r="A247" s="25" t="s">
        <v>1246</v>
      </c>
      <c r="B247" s="25" t="s">
        <v>940</v>
      </c>
      <c r="C247" s="25" t="s">
        <v>941</v>
      </c>
      <c r="D247" s="25" t="s">
        <v>942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10</v>
      </c>
      <c r="K247" s="31">
        <f>783</f>
        <v>783</v>
      </c>
      <c r="L247" s="32" t="s">
        <v>1116</v>
      </c>
      <c r="M247" s="31">
        <f>784.2</f>
        <v>784.2</v>
      </c>
      <c r="N247" s="32" t="s">
        <v>1145</v>
      </c>
      <c r="O247" s="31">
        <f>750.6</f>
        <v>750.6</v>
      </c>
      <c r="P247" s="32" t="s">
        <v>778</v>
      </c>
      <c r="Q247" s="31">
        <f>763.5</f>
        <v>763.5</v>
      </c>
      <c r="R247" s="32" t="s">
        <v>1111</v>
      </c>
      <c r="S247" s="33">
        <f>770.44</f>
        <v>770.44</v>
      </c>
      <c r="T247" s="30">
        <f>1291500</f>
        <v>1291500</v>
      </c>
      <c r="U247" s="30">
        <f>1289840</f>
        <v>1289840</v>
      </c>
      <c r="V247" s="30">
        <f>1001284666</f>
        <v>1001284666</v>
      </c>
      <c r="W247" s="30">
        <f>1000012716</f>
        <v>1000012716</v>
      </c>
      <c r="X247" s="34">
        <f>14</f>
        <v>14</v>
      </c>
    </row>
    <row r="248" spans="1:24">
      <c r="A248" s="25" t="s">
        <v>1246</v>
      </c>
      <c r="B248" s="25" t="s">
        <v>943</v>
      </c>
      <c r="C248" s="25" t="s">
        <v>944</v>
      </c>
      <c r="D248" s="25" t="s">
        <v>945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772.4</f>
        <v>772.4</v>
      </c>
      <c r="L248" s="32" t="s">
        <v>1116</v>
      </c>
      <c r="M248" s="31">
        <f>922.8</f>
        <v>922.8</v>
      </c>
      <c r="N248" s="32" t="s">
        <v>675</v>
      </c>
      <c r="O248" s="31">
        <f>745.4</f>
        <v>745.4</v>
      </c>
      <c r="P248" s="32" t="s">
        <v>778</v>
      </c>
      <c r="Q248" s="31">
        <f>750.6</f>
        <v>750.6</v>
      </c>
      <c r="R248" s="32" t="s">
        <v>676</v>
      </c>
      <c r="S248" s="33">
        <f>762.7</f>
        <v>762.7</v>
      </c>
      <c r="T248" s="30">
        <f>55640</f>
        <v>55640</v>
      </c>
      <c r="U248" s="30">
        <f>10</f>
        <v>10</v>
      </c>
      <c r="V248" s="30">
        <f>43107020</f>
        <v>43107020</v>
      </c>
      <c r="W248" s="30">
        <f>7506</f>
        <v>7506</v>
      </c>
      <c r="X248" s="34">
        <f>12</f>
        <v>12</v>
      </c>
    </row>
    <row r="249" spans="1:24">
      <c r="A249" s="25" t="s">
        <v>1246</v>
      </c>
      <c r="B249" s="25" t="s">
        <v>952</v>
      </c>
      <c r="C249" s="25" t="s">
        <v>953</v>
      </c>
      <c r="D249" s="25" t="s">
        <v>954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</v>
      </c>
      <c r="K249" s="31">
        <f>17000</f>
        <v>17000</v>
      </c>
      <c r="L249" s="32" t="s">
        <v>1116</v>
      </c>
      <c r="M249" s="31">
        <f>17990</f>
        <v>17990</v>
      </c>
      <c r="N249" s="32" t="s">
        <v>777</v>
      </c>
      <c r="O249" s="31">
        <f>16980</f>
        <v>16980</v>
      </c>
      <c r="P249" s="32" t="s">
        <v>1116</v>
      </c>
      <c r="Q249" s="31">
        <f>17990</f>
        <v>17990</v>
      </c>
      <c r="R249" s="32" t="s">
        <v>777</v>
      </c>
      <c r="S249" s="33">
        <f>17401.43</f>
        <v>17401.43</v>
      </c>
      <c r="T249" s="30">
        <f>238942</f>
        <v>238942</v>
      </c>
      <c r="U249" s="30">
        <f>22</f>
        <v>22</v>
      </c>
      <c r="V249" s="30">
        <f>4192715415</f>
        <v>4192715415</v>
      </c>
      <c r="W249" s="30">
        <f>385380</f>
        <v>385380</v>
      </c>
      <c r="X249" s="34">
        <f>21</f>
        <v>21</v>
      </c>
    </row>
    <row r="250" spans="1:24">
      <c r="A250" s="25" t="s">
        <v>1246</v>
      </c>
      <c r="B250" s="25" t="s">
        <v>955</v>
      </c>
      <c r="C250" s="25" t="s">
        <v>956</v>
      </c>
      <c r="D250" s="25" t="s">
        <v>957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46790</f>
        <v>46790</v>
      </c>
      <c r="L250" s="32" t="s">
        <v>1116</v>
      </c>
      <c r="M250" s="31">
        <f>46800</f>
        <v>46800</v>
      </c>
      <c r="N250" s="32" t="s">
        <v>1145</v>
      </c>
      <c r="O250" s="31">
        <f>44680</f>
        <v>44680</v>
      </c>
      <c r="P250" s="32" t="s">
        <v>1118</v>
      </c>
      <c r="Q250" s="31">
        <f>45580</f>
        <v>45580</v>
      </c>
      <c r="R250" s="32" t="s">
        <v>777</v>
      </c>
      <c r="S250" s="33">
        <f>46163.33</f>
        <v>46163.33</v>
      </c>
      <c r="T250" s="30">
        <f>90129</f>
        <v>90129</v>
      </c>
      <c r="U250" s="30">
        <f>16202</f>
        <v>16202</v>
      </c>
      <c r="V250" s="30">
        <f>4156796650</f>
        <v>4156796650</v>
      </c>
      <c r="W250" s="30">
        <f>751748480</f>
        <v>751748480</v>
      </c>
      <c r="X250" s="34">
        <f>21</f>
        <v>21</v>
      </c>
    </row>
    <row r="251" spans="1:24">
      <c r="A251" s="25" t="s">
        <v>1246</v>
      </c>
      <c r="B251" s="25" t="s">
        <v>958</v>
      </c>
      <c r="C251" s="25" t="s">
        <v>959</v>
      </c>
      <c r="D251" s="25" t="s">
        <v>960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16110</f>
        <v>16110</v>
      </c>
      <c r="L251" s="32" t="s">
        <v>1116</v>
      </c>
      <c r="M251" s="31">
        <f>17240</f>
        <v>17240</v>
      </c>
      <c r="N251" s="32" t="s">
        <v>1118</v>
      </c>
      <c r="O251" s="31">
        <f>15815</f>
        <v>15815</v>
      </c>
      <c r="P251" s="32" t="s">
        <v>876</v>
      </c>
      <c r="Q251" s="31">
        <f>16555</f>
        <v>16555</v>
      </c>
      <c r="R251" s="32" t="s">
        <v>777</v>
      </c>
      <c r="S251" s="33">
        <f>16198.81</f>
        <v>16198.81</v>
      </c>
      <c r="T251" s="30">
        <f>58398</f>
        <v>58398</v>
      </c>
      <c r="U251" s="30">
        <f>4</f>
        <v>4</v>
      </c>
      <c r="V251" s="30">
        <f>949151500</f>
        <v>949151500</v>
      </c>
      <c r="W251" s="30">
        <f>64400</f>
        <v>64400</v>
      </c>
      <c r="X251" s="34">
        <f>21</f>
        <v>21</v>
      </c>
    </row>
    <row r="252" spans="1:24">
      <c r="A252" s="25" t="s">
        <v>1246</v>
      </c>
      <c r="B252" s="25" t="s">
        <v>1189</v>
      </c>
      <c r="C252" s="25" t="s">
        <v>1188</v>
      </c>
      <c r="D252" s="25" t="s">
        <v>1187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1107</f>
        <v>1107</v>
      </c>
      <c r="L252" s="32" t="s">
        <v>1116</v>
      </c>
      <c r="M252" s="31">
        <f>1110</f>
        <v>1110</v>
      </c>
      <c r="N252" s="32" t="s">
        <v>1116</v>
      </c>
      <c r="O252" s="31">
        <f>969</f>
        <v>969</v>
      </c>
      <c r="P252" s="32" t="s">
        <v>679</v>
      </c>
      <c r="Q252" s="31">
        <f>1005</f>
        <v>1005</v>
      </c>
      <c r="R252" s="32" t="s">
        <v>777</v>
      </c>
      <c r="S252" s="33">
        <f>1036.76</f>
        <v>1036.76</v>
      </c>
      <c r="T252" s="30">
        <f>142067</f>
        <v>142067</v>
      </c>
      <c r="U252" s="30">
        <f>2</f>
        <v>2</v>
      </c>
      <c r="V252" s="30">
        <f>147717581</f>
        <v>147717581</v>
      </c>
      <c r="W252" s="30">
        <f>2010</f>
        <v>2010</v>
      </c>
      <c r="X252" s="34">
        <f>21</f>
        <v>21</v>
      </c>
    </row>
    <row r="253" spans="1:24">
      <c r="A253" s="25" t="s">
        <v>1246</v>
      </c>
      <c r="B253" s="25" t="s">
        <v>961</v>
      </c>
      <c r="C253" s="25" t="s">
        <v>962</v>
      </c>
      <c r="D253" s="25" t="s">
        <v>963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243.8</f>
        <v>243.8</v>
      </c>
      <c r="L253" s="32" t="s">
        <v>1116</v>
      </c>
      <c r="M253" s="31">
        <f>255.5</f>
        <v>255.5</v>
      </c>
      <c r="N253" s="32" t="s">
        <v>675</v>
      </c>
      <c r="O253" s="31">
        <f>241.3</f>
        <v>241.3</v>
      </c>
      <c r="P253" s="32" t="s">
        <v>680</v>
      </c>
      <c r="Q253" s="31">
        <f>251.8</f>
        <v>251.8</v>
      </c>
      <c r="R253" s="32" t="s">
        <v>777</v>
      </c>
      <c r="S253" s="33">
        <f>247.5</f>
        <v>247.5</v>
      </c>
      <c r="T253" s="30">
        <f>27380</f>
        <v>27380</v>
      </c>
      <c r="U253" s="30" t="str">
        <f>"－"</f>
        <v>－</v>
      </c>
      <c r="V253" s="30">
        <f>6762462</f>
        <v>6762462</v>
      </c>
      <c r="W253" s="30" t="str">
        <f>"－"</f>
        <v>－</v>
      </c>
      <c r="X253" s="34">
        <f>21</f>
        <v>21</v>
      </c>
    </row>
    <row r="254" spans="1:24">
      <c r="A254" s="25" t="s">
        <v>1246</v>
      </c>
      <c r="B254" s="25" t="s">
        <v>964</v>
      </c>
      <c r="C254" s="25" t="s">
        <v>965</v>
      </c>
      <c r="D254" s="25" t="s">
        <v>966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765.9</f>
        <v>765.9</v>
      </c>
      <c r="L254" s="32" t="s">
        <v>1116</v>
      </c>
      <c r="M254" s="31">
        <f>772</f>
        <v>772</v>
      </c>
      <c r="N254" s="32" t="s">
        <v>680</v>
      </c>
      <c r="O254" s="31">
        <f>759.6</f>
        <v>759.6</v>
      </c>
      <c r="P254" s="32" t="s">
        <v>876</v>
      </c>
      <c r="Q254" s="31">
        <f>768.6</f>
        <v>768.6</v>
      </c>
      <c r="R254" s="32" t="s">
        <v>777</v>
      </c>
      <c r="S254" s="33">
        <f>764.23</f>
        <v>764.23</v>
      </c>
      <c r="T254" s="30">
        <f>10518750</f>
        <v>10518750</v>
      </c>
      <c r="U254" s="30">
        <f>9430000</f>
        <v>9430000</v>
      </c>
      <c r="V254" s="30">
        <f>8052160186</f>
        <v>8052160186</v>
      </c>
      <c r="W254" s="30">
        <f>7219735400</f>
        <v>7219735400</v>
      </c>
      <c r="X254" s="34">
        <f>21</f>
        <v>21</v>
      </c>
    </row>
    <row r="255" spans="1:24">
      <c r="A255" s="25" t="s">
        <v>1246</v>
      </c>
      <c r="B255" s="25" t="s">
        <v>982</v>
      </c>
      <c r="C255" s="25" t="s">
        <v>983</v>
      </c>
      <c r="D255" s="25" t="s">
        <v>984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</v>
      </c>
      <c r="K255" s="31">
        <f>1294</f>
        <v>1294</v>
      </c>
      <c r="L255" s="32" t="s">
        <v>1116</v>
      </c>
      <c r="M255" s="31">
        <f>1296</f>
        <v>1296</v>
      </c>
      <c r="N255" s="32" t="s">
        <v>760</v>
      </c>
      <c r="O255" s="31">
        <f>1227</f>
        <v>1227</v>
      </c>
      <c r="P255" s="32" t="s">
        <v>680</v>
      </c>
      <c r="Q255" s="31">
        <f>1267</f>
        <v>1267</v>
      </c>
      <c r="R255" s="32" t="s">
        <v>777</v>
      </c>
      <c r="S255" s="33">
        <f>1270.81</f>
        <v>1270.81</v>
      </c>
      <c r="T255" s="30">
        <f>112206</f>
        <v>112206</v>
      </c>
      <c r="U255" s="30">
        <f>1</f>
        <v>1</v>
      </c>
      <c r="V255" s="30">
        <f>141262049</f>
        <v>141262049</v>
      </c>
      <c r="W255" s="30">
        <f>1267</f>
        <v>1267</v>
      </c>
      <c r="X255" s="34">
        <f>21</f>
        <v>21</v>
      </c>
    </row>
    <row r="256" spans="1:24">
      <c r="A256" s="25" t="s">
        <v>1246</v>
      </c>
      <c r="B256" s="25" t="s">
        <v>985</v>
      </c>
      <c r="C256" s="25" t="s">
        <v>986</v>
      </c>
      <c r="D256" s="25" t="s">
        <v>987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</v>
      </c>
      <c r="K256" s="31">
        <f>1234</f>
        <v>1234</v>
      </c>
      <c r="L256" s="32" t="s">
        <v>1116</v>
      </c>
      <c r="M256" s="31">
        <f>1244</f>
        <v>1244</v>
      </c>
      <c r="N256" s="32" t="s">
        <v>1116</v>
      </c>
      <c r="O256" s="31">
        <f>1177</f>
        <v>1177</v>
      </c>
      <c r="P256" s="32" t="s">
        <v>680</v>
      </c>
      <c r="Q256" s="31">
        <f>1223</f>
        <v>1223</v>
      </c>
      <c r="R256" s="32" t="s">
        <v>777</v>
      </c>
      <c r="S256" s="33">
        <f>1214.86</f>
        <v>1214.8599999999999</v>
      </c>
      <c r="T256" s="30">
        <f>155635</f>
        <v>155635</v>
      </c>
      <c r="U256" s="30">
        <f>14</f>
        <v>14</v>
      </c>
      <c r="V256" s="30">
        <f>188585657</f>
        <v>188585657</v>
      </c>
      <c r="W256" s="30">
        <f>16607</f>
        <v>16607</v>
      </c>
      <c r="X256" s="34">
        <f>21</f>
        <v>21</v>
      </c>
    </row>
    <row r="257" spans="1:24">
      <c r="A257" s="25" t="s">
        <v>1246</v>
      </c>
      <c r="B257" s="25" t="s">
        <v>988</v>
      </c>
      <c r="C257" s="25" t="s">
        <v>989</v>
      </c>
      <c r="D257" s="25" t="s">
        <v>990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873</f>
        <v>873</v>
      </c>
      <c r="L257" s="32" t="s">
        <v>1116</v>
      </c>
      <c r="M257" s="31">
        <f>987</f>
        <v>987</v>
      </c>
      <c r="N257" s="32" t="s">
        <v>759</v>
      </c>
      <c r="O257" s="31">
        <f>869</f>
        <v>869</v>
      </c>
      <c r="P257" s="32" t="s">
        <v>1124</v>
      </c>
      <c r="Q257" s="31">
        <f>927</f>
        <v>927</v>
      </c>
      <c r="R257" s="32" t="s">
        <v>777</v>
      </c>
      <c r="S257" s="33">
        <f>902.71</f>
        <v>902.71</v>
      </c>
      <c r="T257" s="30">
        <f>774788</f>
        <v>774788</v>
      </c>
      <c r="U257" s="30">
        <f>2</f>
        <v>2</v>
      </c>
      <c r="V257" s="30">
        <f>712079017</f>
        <v>712079017</v>
      </c>
      <c r="W257" s="30">
        <f>1854</f>
        <v>1854</v>
      </c>
      <c r="X257" s="34">
        <f>21</f>
        <v>21</v>
      </c>
    </row>
    <row r="258" spans="1:24">
      <c r="A258" s="25" t="s">
        <v>1246</v>
      </c>
      <c r="B258" s="25" t="s">
        <v>1059</v>
      </c>
      <c r="C258" s="25" t="s">
        <v>1060</v>
      </c>
      <c r="D258" s="25" t="s">
        <v>1061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214.3</f>
        <v>214.3</v>
      </c>
      <c r="L258" s="32" t="s">
        <v>1116</v>
      </c>
      <c r="M258" s="31">
        <f>215.8</f>
        <v>215.8</v>
      </c>
      <c r="N258" s="32" t="s">
        <v>759</v>
      </c>
      <c r="O258" s="31">
        <f>200</f>
        <v>200</v>
      </c>
      <c r="P258" s="32" t="s">
        <v>679</v>
      </c>
      <c r="Q258" s="31">
        <f>210.1</f>
        <v>210.1</v>
      </c>
      <c r="R258" s="32" t="s">
        <v>777</v>
      </c>
      <c r="S258" s="33">
        <f>212.44</f>
        <v>212.44</v>
      </c>
      <c r="T258" s="30">
        <f>11574160</f>
        <v>11574160</v>
      </c>
      <c r="U258" s="30">
        <f>1260</f>
        <v>1260</v>
      </c>
      <c r="V258" s="30">
        <f>2450323004</f>
        <v>2450323004</v>
      </c>
      <c r="W258" s="30">
        <f>268127</f>
        <v>268127</v>
      </c>
      <c r="X258" s="34">
        <f>21</f>
        <v>21</v>
      </c>
    </row>
    <row r="259" spans="1:24">
      <c r="A259" s="25" t="s">
        <v>1246</v>
      </c>
      <c r="B259" s="25" t="s">
        <v>1062</v>
      </c>
      <c r="C259" s="25" t="s">
        <v>1063</v>
      </c>
      <c r="D259" s="25" t="s">
        <v>1064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210.1</f>
        <v>210.1</v>
      </c>
      <c r="L259" s="32" t="s">
        <v>1116</v>
      </c>
      <c r="M259" s="31">
        <f>219.2</f>
        <v>219.2</v>
      </c>
      <c r="N259" s="32" t="s">
        <v>777</v>
      </c>
      <c r="O259" s="31">
        <f>210.1</f>
        <v>210.1</v>
      </c>
      <c r="P259" s="32" t="s">
        <v>1116</v>
      </c>
      <c r="Q259" s="31">
        <f>218.2</f>
        <v>218.2</v>
      </c>
      <c r="R259" s="32" t="s">
        <v>777</v>
      </c>
      <c r="S259" s="33">
        <f>214.53</f>
        <v>214.53</v>
      </c>
      <c r="T259" s="30">
        <f>659770</f>
        <v>659770</v>
      </c>
      <c r="U259" s="30">
        <f>50</f>
        <v>50</v>
      </c>
      <c r="V259" s="30">
        <f>142115972</f>
        <v>142115972</v>
      </c>
      <c r="W259" s="30">
        <f>10820</f>
        <v>10820</v>
      </c>
      <c r="X259" s="34">
        <f>21</f>
        <v>21</v>
      </c>
    </row>
    <row r="260" spans="1:24">
      <c r="A260" s="25" t="s">
        <v>1246</v>
      </c>
      <c r="B260" s="25" t="s">
        <v>1065</v>
      </c>
      <c r="C260" s="25" t="s">
        <v>1066</v>
      </c>
      <c r="D260" s="25" t="s">
        <v>1067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214.7</f>
        <v>214.7</v>
      </c>
      <c r="L260" s="32" t="s">
        <v>1116</v>
      </c>
      <c r="M260" s="31">
        <f>227.3</f>
        <v>227.3</v>
      </c>
      <c r="N260" s="32" t="s">
        <v>676</v>
      </c>
      <c r="O260" s="31">
        <f>212.6</f>
        <v>212.6</v>
      </c>
      <c r="P260" s="32" t="s">
        <v>675</v>
      </c>
      <c r="Q260" s="31">
        <f>220.4</f>
        <v>220.4</v>
      </c>
      <c r="R260" s="32" t="s">
        <v>777</v>
      </c>
      <c r="S260" s="33">
        <f>216.69</f>
        <v>216.69</v>
      </c>
      <c r="T260" s="30">
        <f>288980</f>
        <v>288980</v>
      </c>
      <c r="U260" s="30">
        <f>470</f>
        <v>470</v>
      </c>
      <c r="V260" s="30">
        <f>62862502</f>
        <v>62862502</v>
      </c>
      <c r="W260" s="30">
        <f>99178</f>
        <v>99178</v>
      </c>
      <c r="X260" s="34">
        <f>21</f>
        <v>21</v>
      </c>
    </row>
    <row r="261" spans="1:24">
      <c r="A261" s="25" t="s">
        <v>1246</v>
      </c>
      <c r="B261" s="25" t="s">
        <v>1068</v>
      </c>
      <c r="C261" s="25" t="s">
        <v>1069</v>
      </c>
      <c r="D261" s="25" t="s">
        <v>1070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221</f>
        <v>221</v>
      </c>
      <c r="L261" s="32" t="s">
        <v>1116</v>
      </c>
      <c r="M261" s="31">
        <f>226.9</f>
        <v>226.9</v>
      </c>
      <c r="N261" s="32" t="s">
        <v>676</v>
      </c>
      <c r="O261" s="31">
        <f>215.1</f>
        <v>215.1</v>
      </c>
      <c r="P261" s="32" t="s">
        <v>675</v>
      </c>
      <c r="Q261" s="31">
        <f>225.5</f>
        <v>225.5</v>
      </c>
      <c r="R261" s="32" t="s">
        <v>777</v>
      </c>
      <c r="S261" s="33">
        <f>220.53</f>
        <v>220.53</v>
      </c>
      <c r="T261" s="30">
        <f>876670</f>
        <v>876670</v>
      </c>
      <c r="U261" s="30" t="str">
        <f>"－"</f>
        <v>－</v>
      </c>
      <c r="V261" s="30">
        <f>191783176</f>
        <v>191783176</v>
      </c>
      <c r="W261" s="30" t="str">
        <f>"－"</f>
        <v>－</v>
      </c>
      <c r="X261" s="34">
        <f>21</f>
        <v>21</v>
      </c>
    </row>
    <row r="262" spans="1:24">
      <c r="A262" s="25" t="s">
        <v>1246</v>
      </c>
      <c r="B262" s="25" t="s">
        <v>1071</v>
      </c>
      <c r="C262" s="25" t="s">
        <v>1072</v>
      </c>
      <c r="D262" s="25" t="s">
        <v>1073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199.6</f>
        <v>199.6</v>
      </c>
      <c r="L262" s="32" t="s">
        <v>1116</v>
      </c>
      <c r="M262" s="31">
        <f>200</f>
        <v>200</v>
      </c>
      <c r="N262" s="32" t="s">
        <v>684</v>
      </c>
      <c r="O262" s="31">
        <f>194.2</f>
        <v>194.2</v>
      </c>
      <c r="P262" s="32" t="s">
        <v>777</v>
      </c>
      <c r="Q262" s="31">
        <f>194.7</f>
        <v>194.7</v>
      </c>
      <c r="R262" s="32" t="s">
        <v>777</v>
      </c>
      <c r="S262" s="33">
        <f>197.71</f>
        <v>197.71</v>
      </c>
      <c r="T262" s="30">
        <f>10970780</f>
        <v>10970780</v>
      </c>
      <c r="U262" s="30">
        <f>10060010</f>
        <v>10060010</v>
      </c>
      <c r="V262" s="30">
        <f>2164760688</f>
        <v>2164760688</v>
      </c>
      <c r="W262" s="30">
        <f>1983779947</f>
        <v>1983779947</v>
      </c>
      <c r="X262" s="34">
        <f>21</f>
        <v>21</v>
      </c>
    </row>
    <row r="263" spans="1:24">
      <c r="A263" s="25" t="s">
        <v>1246</v>
      </c>
      <c r="B263" s="25" t="s">
        <v>1203</v>
      </c>
      <c r="C263" s="25" t="s">
        <v>1204</v>
      </c>
      <c r="D263" s="25" t="s">
        <v>1205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</v>
      </c>
      <c r="K263" s="31">
        <f>2021</f>
        <v>2021</v>
      </c>
      <c r="L263" s="32" t="s">
        <v>1116</v>
      </c>
      <c r="M263" s="31">
        <f>2106</f>
        <v>2106</v>
      </c>
      <c r="N263" s="32" t="s">
        <v>760</v>
      </c>
      <c r="O263" s="31">
        <f>2011</f>
        <v>2011</v>
      </c>
      <c r="P263" s="32" t="s">
        <v>1116</v>
      </c>
      <c r="Q263" s="31">
        <f>2072</f>
        <v>2072</v>
      </c>
      <c r="R263" s="32" t="s">
        <v>777</v>
      </c>
      <c r="S263" s="33">
        <f>2057.19</f>
        <v>2057.19</v>
      </c>
      <c r="T263" s="30">
        <f>647862</f>
        <v>647862</v>
      </c>
      <c r="U263" s="30">
        <f>1</f>
        <v>1</v>
      </c>
      <c r="V263" s="30">
        <f>1334411709</f>
        <v>1334411709</v>
      </c>
      <c r="W263" s="30">
        <f>2072</f>
        <v>2072</v>
      </c>
      <c r="X263" s="34">
        <f>21</f>
        <v>21</v>
      </c>
    </row>
    <row r="264" spans="1:24">
      <c r="A264" s="25" t="s">
        <v>1246</v>
      </c>
      <c r="B264" s="25" t="s">
        <v>1207</v>
      </c>
      <c r="C264" s="25" t="s">
        <v>1208</v>
      </c>
      <c r="D264" s="25" t="s">
        <v>1209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1008</f>
        <v>1008</v>
      </c>
      <c r="L264" s="32" t="s">
        <v>1116</v>
      </c>
      <c r="M264" s="31">
        <f>1050</f>
        <v>1050</v>
      </c>
      <c r="N264" s="32" t="s">
        <v>777</v>
      </c>
      <c r="O264" s="31">
        <f>1002</f>
        <v>1002</v>
      </c>
      <c r="P264" s="32" t="s">
        <v>680</v>
      </c>
      <c r="Q264" s="31">
        <f>1041</f>
        <v>1041</v>
      </c>
      <c r="R264" s="32" t="s">
        <v>777</v>
      </c>
      <c r="S264" s="33">
        <f>1018.33</f>
        <v>1018.33</v>
      </c>
      <c r="T264" s="30">
        <f>135532</f>
        <v>135532</v>
      </c>
      <c r="U264" s="30">
        <f>88660</f>
        <v>88660</v>
      </c>
      <c r="V264" s="30">
        <f>137592162</f>
        <v>137592162</v>
      </c>
      <c r="W264" s="30">
        <f>89513120</f>
        <v>89513120</v>
      </c>
      <c r="X264" s="34">
        <f>21</f>
        <v>21</v>
      </c>
    </row>
    <row r="265" spans="1:24">
      <c r="A265" s="25" t="s">
        <v>1246</v>
      </c>
      <c r="B265" s="25" t="s">
        <v>1211</v>
      </c>
      <c r="C265" s="25" t="s">
        <v>1212</v>
      </c>
      <c r="D265" s="25" t="s">
        <v>1213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985</f>
        <v>985</v>
      </c>
      <c r="L265" s="32" t="s">
        <v>1116</v>
      </c>
      <c r="M265" s="31">
        <f>1028</f>
        <v>1028</v>
      </c>
      <c r="N265" s="32" t="s">
        <v>777</v>
      </c>
      <c r="O265" s="31">
        <f>973</f>
        <v>973</v>
      </c>
      <c r="P265" s="32" t="s">
        <v>680</v>
      </c>
      <c r="Q265" s="31">
        <f>1020</f>
        <v>1020</v>
      </c>
      <c r="R265" s="32" t="s">
        <v>777</v>
      </c>
      <c r="S265" s="33">
        <f>996.48</f>
        <v>996.48</v>
      </c>
      <c r="T265" s="30">
        <f>1215245</f>
        <v>1215245</v>
      </c>
      <c r="U265" s="30">
        <f>568865</f>
        <v>568865</v>
      </c>
      <c r="V265" s="30">
        <f>1205757423</f>
        <v>1205757423</v>
      </c>
      <c r="W265" s="30">
        <f>557565401</f>
        <v>557565401</v>
      </c>
      <c r="X265" s="34">
        <f>21</f>
        <v>21</v>
      </c>
    </row>
    <row r="266" spans="1:24">
      <c r="A266" s="25" t="s">
        <v>1246</v>
      </c>
      <c r="B266" s="25" t="s">
        <v>1214</v>
      </c>
      <c r="C266" s="25" t="s">
        <v>1215</v>
      </c>
      <c r="D266" s="25" t="s">
        <v>1216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496</f>
        <v>496</v>
      </c>
      <c r="L266" s="32" t="s">
        <v>1116</v>
      </c>
      <c r="M266" s="31">
        <f>562.1</f>
        <v>562.1</v>
      </c>
      <c r="N266" s="32" t="s">
        <v>777</v>
      </c>
      <c r="O266" s="31">
        <f>492.8</f>
        <v>492.8</v>
      </c>
      <c r="P266" s="32" t="s">
        <v>1111</v>
      </c>
      <c r="Q266" s="31">
        <f>492.9</f>
        <v>492.9</v>
      </c>
      <c r="R266" s="32" t="s">
        <v>777</v>
      </c>
      <c r="S266" s="33">
        <f>495.4</f>
        <v>495.4</v>
      </c>
      <c r="T266" s="30">
        <f>6441690</f>
        <v>6441690</v>
      </c>
      <c r="U266" s="30">
        <f>6256470</f>
        <v>6256470</v>
      </c>
      <c r="V266" s="30">
        <f>3195673419</f>
        <v>3195673419</v>
      </c>
      <c r="W266" s="30">
        <f>3103880719</f>
        <v>3103880719</v>
      </c>
      <c r="X266" s="34">
        <f>21</f>
        <v>21</v>
      </c>
    </row>
    <row r="267" spans="1:24">
      <c r="A267" s="25" t="s">
        <v>1246</v>
      </c>
      <c r="B267" s="25" t="s">
        <v>1218</v>
      </c>
      <c r="C267" s="25" t="s">
        <v>1219</v>
      </c>
      <c r="D267" s="25" t="s">
        <v>1220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195.1</f>
        <v>195.1</v>
      </c>
      <c r="L267" s="32" t="s">
        <v>1116</v>
      </c>
      <c r="M267" s="31">
        <f>199</f>
        <v>199</v>
      </c>
      <c r="N267" s="32" t="s">
        <v>876</v>
      </c>
      <c r="O267" s="31">
        <f>183.1</f>
        <v>183.1</v>
      </c>
      <c r="P267" s="32" t="s">
        <v>679</v>
      </c>
      <c r="Q267" s="31">
        <f>185</f>
        <v>185</v>
      </c>
      <c r="R267" s="32" t="s">
        <v>777</v>
      </c>
      <c r="S267" s="33">
        <f>191.14</f>
        <v>191.14</v>
      </c>
      <c r="T267" s="30">
        <f>4120470</f>
        <v>4120470</v>
      </c>
      <c r="U267" s="30" t="str">
        <f>"－"</f>
        <v>－</v>
      </c>
      <c r="V267" s="30">
        <f>779336483</f>
        <v>779336483</v>
      </c>
      <c r="W267" s="30" t="str">
        <f>"－"</f>
        <v>－</v>
      </c>
      <c r="X267" s="34">
        <f>21</f>
        <v>21</v>
      </c>
    </row>
    <row r="268" spans="1:24">
      <c r="A268" s="25" t="s">
        <v>1246</v>
      </c>
      <c r="B268" s="25" t="s">
        <v>1221</v>
      </c>
      <c r="C268" s="25" t="s">
        <v>1222</v>
      </c>
      <c r="D268" s="25" t="s">
        <v>1223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182</f>
        <v>182</v>
      </c>
      <c r="L268" s="32" t="s">
        <v>1116</v>
      </c>
      <c r="M268" s="31">
        <f>186.6</f>
        <v>186.6</v>
      </c>
      <c r="N268" s="32" t="s">
        <v>1124</v>
      </c>
      <c r="O268" s="31">
        <f>163</f>
        <v>163</v>
      </c>
      <c r="P268" s="32" t="s">
        <v>777</v>
      </c>
      <c r="Q268" s="31">
        <f>163.7</f>
        <v>163.69999999999999</v>
      </c>
      <c r="R268" s="32" t="s">
        <v>777</v>
      </c>
      <c r="S268" s="33">
        <f>174.91</f>
        <v>174.91</v>
      </c>
      <c r="T268" s="30">
        <f>2375740</f>
        <v>2375740</v>
      </c>
      <c r="U268" s="30">
        <f>650</f>
        <v>650</v>
      </c>
      <c r="V268" s="30">
        <f>405302300</f>
        <v>405302300</v>
      </c>
      <c r="W268" s="30">
        <f>121399</f>
        <v>121399</v>
      </c>
      <c r="X268" s="34">
        <f>21</f>
        <v>21</v>
      </c>
    </row>
    <row r="269" spans="1:24">
      <c r="A269" s="25" t="s">
        <v>1246</v>
      </c>
      <c r="B269" s="25" t="s">
        <v>539</v>
      </c>
      <c r="C269" s="25" t="s">
        <v>540</v>
      </c>
      <c r="D269" s="25" t="s">
        <v>541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897.4</f>
        <v>897.4</v>
      </c>
      <c r="L269" s="32" t="s">
        <v>1116</v>
      </c>
      <c r="M269" s="31">
        <f>905</f>
        <v>905</v>
      </c>
      <c r="N269" s="32" t="s">
        <v>760</v>
      </c>
      <c r="O269" s="31">
        <f>896</f>
        <v>896</v>
      </c>
      <c r="P269" s="32" t="s">
        <v>1116</v>
      </c>
      <c r="Q269" s="31">
        <f>902</f>
        <v>902</v>
      </c>
      <c r="R269" s="32" t="s">
        <v>777</v>
      </c>
      <c r="S269" s="33">
        <f>902.2</f>
        <v>902.2</v>
      </c>
      <c r="T269" s="30">
        <f>10135600</f>
        <v>10135600</v>
      </c>
      <c r="U269" s="30">
        <f>8916840</f>
        <v>8916840</v>
      </c>
      <c r="V269" s="30">
        <f>9138671111</f>
        <v>9138671111</v>
      </c>
      <c r="W269" s="30">
        <f>8039381290</f>
        <v>8039381290</v>
      </c>
      <c r="X269" s="34">
        <f>21</f>
        <v>21</v>
      </c>
    </row>
    <row r="270" spans="1:24">
      <c r="A270" s="25" t="s">
        <v>1246</v>
      </c>
      <c r="B270" s="25" t="s">
        <v>542</v>
      </c>
      <c r="C270" s="25" t="s">
        <v>543</v>
      </c>
      <c r="D270" s="25" t="s">
        <v>544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1090.5</f>
        <v>1090.5</v>
      </c>
      <c r="L270" s="32" t="s">
        <v>1116</v>
      </c>
      <c r="M270" s="31">
        <f>1120</f>
        <v>1120</v>
      </c>
      <c r="N270" s="32" t="s">
        <v>1111</v>
      </c>
      <c r="O270" s="31">
        <f>1078</f>
        <v>1078</v>
      </c>
      <c r="P270" s="32" t="s">
        <v>675</v>
      </c>
      <c r="Q270" s="31">
        <f>1118.5</f>
        <v>1118.5</v>
      </c>
      <c r="R270" s="32" t="s">
        <v>777</v>
      </c>
      <c r="S270" s="33">
        <f>1101.21</f>
        <v>1101.21</v>
      </c>
      <c r="T270" s="30">
        <f>2487670</f>
        <v>2487670</v>
      </c>
      <c r="U270" s="30">
        <f>1381750</f>
        <v>1381750</v>
      </c>
      <c r="V270" s="30">
        <f>2717690907</f>
        <v>2717690907</v>
      </c>
      <c r="W270" s="30">
        <f>1504872482</f>
        <v>1504872482</v>
      </c>
      <c r="X270" s="34">
        <f>21</f>
        <v>21</v>
      </c>
    </row>
    <row r="271" spans="1:24">
      <c r="A271" s="25" t="s">
        <v>1246</v>
      </c>
      <c r="B271" s="25" t="s">
        <v>545</v>
      </c>
      <c r="C271" s="25" t="s">
        <v>546</v>
      </c>
      <c r="D271" s="25" t="s">
        <v>547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784</f>
        <v>784</v>
      </c>
      <c r="L271" s="32" t="s">
        <v>1116</v>
      </c>
      <c r="M271" s="31">
        <f>784</f>
        <v>784</v>
      </c>
      <c r="N271" s="32" t="s">
        <v>1116</v>
      </c>
      <c r="O271" s="31">
        <f>763</f>
        <v>763</v>
      </c>
      <c r="P271" s="32" t="s">
        <v>777</v>
      </c>
      <c r="Q271" s="31">
        <f>763.2</f>
        <v>763.2</v>
      </c>
      <c r="R271" s="32" t="s">
        <v>777</v>
      </c>
      <c r="S271" s="33">
        <f>773.67</f>
        <v>773.67</v>
      </c>
      <c r="T271" s="30">
        <f>12489230</f>
        <v>12489230</v>
      </c>
      <c r="U271" s="30">
        <f>12195490</f>
        <v>12195490</v>
      </c>
      <c r="V271" s="30">
        <f>9665560571</f>
        <v>9665560571</v>
      </c>
      <c r="W271" s="30">
        <f>9437998095</f>
        <v>9437998095</v>
      </c>
      <c r="X271" s="34">
        <f>21</f>
        <v>21</v>
      </c>
    </row>
    <row r="272" spans="1:24">
      <c r="A272" s="25" t="s">
        <v>1246</v>
      </c>
      <c r="B272" s="25" t="s">
        <v>548</v>
      </c>
      <c r="C272" s="25" t="s">
        <v>549</v>
      </c>
      <c r="D272" s="25" t="s">
        <v>550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2625.5</f>
        <v>2625.5</v>
      </c>
      <c r="L272" s="32" t="s">
        <v>1116</v>
      </c>
      <c r="M272" s="31">
        <f>2796.5</f>
        <v>2796.5</v>
      </c>
      <c r="N272" s="32" t="s">
        <v>760</v>
      </c>
      <c r="O272" s="31">
        <f>2624</f>
        <v>2624</v>
      </c>
      <c r="P272" s="32" t="s">
        <v>1116</v>
      </c>
      <c r="Q272" s="31">
        <f>2722</f>
        <v>2722</v>
      </c>
      <c r="R272" s="32" t="s">
        <v>777</v>
      </c>
      <c r="S272" s="33">
        <f>2686.9</f>
        <v>2686.9</v>
      </c>
      <c r="T272" s="30">
        <f>1342600</f>
        <v>1342600</v>
      </c>
      <c r="U272" s="30">
        <f>811980</f>
        <v>811980</v>
      </c>
      <c r="V272" s="30">
        <f>3595639332</f>
        <v>3595639332</v>
      </c>
      <c r="W272" s="30">
        <f>2173893067</f>
        <v>2173893067</v>
      </c>
      <c r="X272" s="34">
        <f>21</f>
        <v>21</v>
      </c>
    </row>
    <row r="273" spans="1:24">
      <c r="A273" s="25" t="s">
        <v>1246</v>
      </c>
      <c r="B273" s="25" t="s">
        <v>551</v>
      </c>
      <c r="C273" s="25" t="s">
        <v>552</v>
      </c>
      <c r="D273" s="25" t="s">
        <v>553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1697.5</f>
        <v>1697.5</v>
      </c>
      <c r="L273" s="32" t="s">
        <v>1116</v>
      </c>
      <c r="M273" s="31">
        <f>1712.5</f>
        <v>1712.5</v>
      </c>
      <c r="N273" s="32" t="s">
        <v>1124</v>
      </c>
      <c r="O273" s="31">
        <f>1637.5</f>
        <v>1637.5</v>
      </c>
      <c r="P273" s="32" t="s">
        <v>1118</v>
      </c>
      <c r="Q273" s="31">
        <f>1666.5</f>
        <v>1666.5</v>
      </c>
      <c r="R273" s="32" t="s">
        <v>777</v>
      </c>
      <c r="S273" s="33">
        <f>1689.67</f>
        <v>1689.67</v>
      </c>
      <c r="T273" s="30">
        <f>707110</f>
        <v>707110</v>
      </c>
      <c r="U273" s="30">
        <f>392950</f>
        <v>392950</v>
      </c>
      <c r="V273" s="30">
        <f>1187970972</f>
        <v>1187970972</v>
      </c>
      <c r="W273" s="30">
        <f>664803087</f>
        <v>664803087</v>
      </c>
      <c r="X273" s="34">
        <f>21</f>
        <v>21</v>
      </c>
    </row>
    <row r="274" spans="1:24">
      <c r="A274" s="25" t="s">
        <v>1246</v>
      </c>
      <c r="B274" s="25" t="s">
        <v>554</v>
      </c>
      <c r="C274" s="25" t="s">
        <v>555</v>
      </c>
      <c r="D274" s="25" t="s">
        <v>556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1507.5</f>
        <v>1507.5</v>
      </c>
      <c r="L274" s="32" t="s">
        <v>1116</v>
      </c>
      <c r="M274" s="31">
        <f>1530</f>
        <v>1530</v>
      </c>
      <c r="N274" s="32" t="s">
        <v>675</v>
      </c>
      <c r="O274" s="31">
        <f>1411</f>
        <v>1411</v>
      </c>
      <c r="P274" s="32" t="s">
        <v>1118</v>
      </c>
      <c r="Q274" s="31">
        <f>1454</f>
        <v>1454</v>
      </c>
      <c r="R274" s="32" t="s">
        <v>777</v>
      </c>
      <c r="S274" s="33">
        <f>1466.26</f>
        <v>1466.26</v>
      </c>
      <c r="T274" s="30">
        <f>1532930</f>
        <v>1532930</v>
      </c>
      <c r="U274" s="30">
        <f>816390</f>
        <v>816390</v>
      </c>
      <c r="V274" s="30">
        <f>2234514371</f>
        <v>2234514371</v>
      </c>
      <c r="W274" s="30">
        <f>1184454391</f>
        <v>1184454391</v>
      </c>
      <c r="X274" s="34">
        <f>21</f>
        <v>21</v>
      </c>
    </row>
    <row r="275" spans="1:24">
      <c r="A275" s="25" t="s">
        <v>1246</v>
      </c>
      <c r="B275" s="25" t="s">
        <v>557</v>
      </c>
      <c r="C275" s="25" t="s">
        <v>1074</v>
      </c>
      <c r="D275" s="25" t="s">
        <v>1075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502.1</f>
        <v>502.1</v>
      </c>
      <c r="L275" s="32" t="s">
        <v>1116</v>
      </c>
      <c r="M275" s="31">
        <f>508.6</f>
        <v>508.6</v>
      </c>
      <c r="N275" s="32" t="s">
        <v>1111</v>
      </c>
      <c r="O275" s="31">
        <f>485.1</f>
        <v>485.1</v>
      </c>
      <c r="P275" s="32" t="s">
        <v>680</v>
      </c>
      <c r="Q275" s="31">
        <f>502.5</f>
        <v>502.5</v>
      </c>
      <c r="R275" s="32" t="s">
        <v>777</v>
      </c>
      <c r="S275" s="33">
        <f>498.22</f>
        <v>498.22</v>
      </c>
      <c r="T275" s="30">
        <f>17686150</f>
        <v>17686150</v>
      </c>
      <c r="U275" s="30">
        <f>53740</f>
        <v>53740</v>
      </c>
      <c r="V275" s="30">
        <f>8805464552</f>
        <v>8805464552</v>
      </c>
      <c r="W275" s="30">
        <f>26713433</f>
        <v>26713433</v>
      </c>
      <c r="X275" s="34">
        <f>21</f>
        <v>21</v>
      </c>
    </row>
    <row r="276" spans="1:24">
      <c r="A276" s="25" t="s">
        <v>1246</v>
      </c>
      <c r="B276" s="25" t="s">
        <v>558</v>
      </c>
      <c r="C276" s="25" t="s">
        <v>559</v>
      </c>
      <c r="D276" s="25" t="s">
        <v>560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1004.5</f>
        <v>1004.5</v>
      </c>
      <c r="L276" s="32" t="s">
        <v>1116</v>
      </c>
      <c r="M276" s="31">
        <f>1013.5</f>
        <v>1013.5</v>
      </c>
      <c r="N276" s="32" t="s">
        <v>777</v>
      </c>
      <c r="O276" s="31">
        <f>972.1</f>
        <v>972.1</v>
      </c>
      <c r="P276" s="32" t="s">
        <v>1118</v>
      </c>
      <c r="Q276" s="31">
        <f>1005</f>
        <v>1005</v>
      </c>
      <c r="R276" s="32" t="s">
        <v>777</v>
      </c>
      <c r="S276" s="33">
        <f>988.54</f>
        <v>988.54</v>
      </c>
      <c r="T276" s="30">
        <f>1320610</f>
        <v>1320610</v>
      </c>
      <c r="U276" s="30">
        <f>1050010</f>
        <v>1050010</v>
      </c>
      <c r="V276" s="30">
        <f>1299095360</f>
        <v>1299095360</v>
      </c>
      <c r="W276" s="30">
        <f>1032382738</f>
        <v>1032382738</v>
      </c>
      <c r="X276" s="34">
        <f>21</f>
        <v>21</v>
      </c>
    </row>
    <row r="277" spans="1:24">
      <c r="A277" s="25" t="s">
        <v>1246</v>
      </c>
      <c r="B277" s="25" t="s">
        <v>561</v>
      </c>
      <c r="C277" s="25" t="s">
        <v>562</v>
      </c>
      <c r="D277" s="25" t="s">
        <v>563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1569</f>
        <v>1569</v>
      </c>
      <c r="L277" s="32" t="s">
        <v>1116</v>
      </c>
      <c r="M277" s="31">
        <f>1639</f>
        <v>1639</v>
      </c>
      <c r="N277" s="32" t="s">
        <v>674</v>
      </c>
      <c r="O277" s="31">
        <f>1559</f>
        <v>1559</v>
      </c>
      <c r="P277" s="32" t="s">
        <v>680</v>
      </c>
      <c r="Q277" s="31">
        <f>1609</f>
        <v>1609</v>
      </c>
      <c r="R277" s="32" t="s">
        <v>777</v>
      </c>
      <c r="S277" s="33">
        <f>1595.76</f>
        <v>1595.76</v>
      </c>
      <c r="T277" s="30">
        <f>76954</f>
        <v>76954</v>
      </c>
      <c r="U277" s="30">
        <f>2</f>
        <v>2</v>
      </c>
      <c r="V277" s="30">
        <f>122582035</f>
        <v>122582035</v>
      </c>
      <c r="W277" s="30">
        <f>3218</f>
        <v>3218</v>
      </c>
      <c r="X277" s="34">
        <f>21</f>
        <v>21</v>
      </c>
    </row>
    <row r="278" spans="1:24">
      <c r="A278" s="25" t="s">
        <v>1246</v>
      </c>
      <c r="B278" s="25" t="s">
        <v>564</v>
      </c>
      <c r="C278" s="25" t="s">
        <v>565</v>
      </c>
      <c r="D278" s="25" t="s">
        <v>566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10</v>
      </c>
      <c r="K278" s="31">
        <f>1076</f>
        <v>1076</v>
      </c>
      <c r="L278" s="32" t="s">
        <v>1116</v>
      </c>
      <c r="M278" s="31">
        <f>1121</f>
        <v>1121</v>
      </c>
      <c r="N278" s="32" t="s">
        <v>777</v>
      </c>
      <c r="O278" s="31">
        <f>1070</f>
        <v>1070</v>
      </c>
      <c r="P278" s="32" t="s">
        <v>674</v>
      </c>
      <c r="Q278" s="31">
        <f>1121</f>
        <v>1121</v>
      </c>
      <c r="R278" s="32" t="s">
        <v>777</v>
      </c>
      <c r="S278" s="33">
        <f>1096.55</f>
        <v>1096.55</v>
      </c>
      <c r="T278" s="30">
        <f>63670</f>
        <v>63670</v>
      </c>
      <c r="U278" s="30">
        <f>440</f>
        <v>440</v>
      </c>
      <c r="V278" s="30">
        <f>70026780</f>
        <v>70026780</v>
      </c>
      <c r="W278" s="30">
        <f>490065</f>
        <v>490065</v>
      </c>
      <c r="X278" s="34">
        <f>21</f>
        <v>21</v>
      </c>
    </row>
    <row r="279" spans="1:24">
      <c r="A279" s="25" t="s">
        <v>1246</v>
      </c>
      <c r="B279" s="25" t="s">
        <v>567</v>
      </c>
      <c r="C279" s="25" t="s">
        <v>568</v>
      </c>
      <c r="D279" s="25" t="s">
        <v>569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1423.5</f>
        <v>1423.5</v>
      </c>
      <c r="L279" s="32" t="s">
        <v>1116</v>
      </c>
      <c r="M279" s="31">
        <f>1499.5</f>
        <v>1499.5</v>
      </c>
      <c r="N279" s="32" t="s">
        <v>777</v>
      </c>
      <c r="O279" s="31">
        <f>1405.5</f>
        <v>1405.5</v>
      </c>
      <c r="P279" s="32" t="s">
        <v>876</v>
      </c>
      <c r="Q279" s="31">
        <f>1478.5</f>
        <v>1478.5</v>
      </c>
      <c r="R279" s="32" t="s">
        <v>777</v>
      </c>
      <c r="S279" s="33">
        <f>1456.05</f>
        <v>1456.05</v>
      </c>
      <c r="T279" s="30">
        <f>137000</f>
        <v>137000</v>
      </c>
      <c r="U279" s="30">
        <f>700</f>
        <v>700</v>
      </c>
      <c r="V279" s="30">
        <f>199004280</f>
        <v>199004280</v>
      </c>
      <c r="W279" s="30">
        <f>1027425</f>
        <v>1027425</v>
      </c>
      <c r="X279" s="34">
        <f>21</f>
        <v>21</v>
      </c>
    </row>
    <row r="280" spans="1:24">
      <c r="A280" s="25" t="s">
        <v>1246</v>
      </c>
      <c r="B280" s="25" t="s">
        <v>570</v>
      </c>
      <c r="C280" s="25" t="s">
        <v>571</v>
      </c>
      <c r="D280" s="25" t="s">
        <v>572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1826</f>
        <v>1826</v>
      </c>
      <c r="L280" s="32" t="s">
        <v>1116</v>
      </c>
      <c r="M280" s="31">
        <f>1843</f>
        <v>1843</v>
      </c>
      <c r="N280" s="32" t="s">
        <v>876</v>
      </c>
      <c r="O280" s="31">
        <f>1733</f>
        <v>1733</v>
      </c>
      <c r="P280" s="32" t="s">
        <v>679</v>
      </c>
      <c r="Q280" s="31">
        <f>1797</f>
        <v>1797</v>
      </c>
      <c r="R280" s="32" t="s">
        <v>777</v>
      </c>
      <c r="S280" s="33">
        <f>1821.48</f>
        <v>1821.48</v>
      </c>
      <c r="T280" s="30">
        <f>4598460</f>
        <v>4598460</v>
      </c>
      <c r="U280" s="30">
        <f>3427370</f>
        <v>3427370</v>
      </c>
      <c r="V280" s="30">
        <f>8381865646</f>
        <v>8381865646</v>
      </c>
      <c r="W280" s="30">
        <f>6254860801</f>
        <v>6254860801</v>
      </c>
      <c r="X280" s="34">
        <f>21</f>
        <v>21</v>
      </c>
    </row>
    <row r="281" spans="1:24">
      <c r="A281" s="25" t="s">
        <v>1246</v>
      </c>
      <c r="B281" s="25" t="s">
        <v>573</v>
      </c>
      <c r="C281" s="25" t="s">
        <v>574</v>
      </c>
      <c r="D281" s="25" t="s">
        <v>575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</v>
      </c>
      <c r="K281" s="31">
        <f>5690</f>
        <v>5690</v>
      </c>
      <c r="L281" s="32" t="s">
        <v>1116</v>
      </c>
      <c r="M281" s="31">
        <f>5980</f>
        <v>5980</v>
      </c>
      <c r="N281" s="32" t="s">
        <v>682</v>
      </c>
      <c r="O281" s="31">
        <f>5620</f>
        <v>5620</v>
      </c>
      <c r="P281" s="32" t="s">
        <v>1116</v>
      </c>
      <c r="Q281" s="31">
        <f>5840</f>
        <v>5840</v>
      </c>
      <c r="R281" s="32" t="s">
        <v>777</v>
      </c>
      <c r="S281" s="33">
        <f>5814.76</f>
        <v>5814.76</v>
      </c>
      <c r="T281" s="30">
        <f>128594</f>
        <v>128594</v>
      </c>
      <c r="U281" s="30">
        <f>12</f>
        <v>12</v>
      </c>
      <c r="V281" s="30">
        <f>747766420</f>
        <v>747766420</v>
      </c>
      <c r="W281" s="30">
        <f>64360</f>
        <v>64360</v>
      </c>
      <c r="X281" s="34">
        <f>21</f>
        <v>21</v>
      </c>
    </row>
    <row r="282" spans="1:24">
      <c r="A282" s="25" t="s">
        <v>1246</v>
      </c>
      <c r="B282" s="25" t="s">
        <v>576</v>
      </c>
      <c r="C282" s="25" t="s">
        <v>577</v>
      </c>
      <c r="D282" s="25" t="s">
        <v>578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10</v>
      </c>
      <c r="K282" s="31">
        <f>2296</f>
        <v>2296</v>
      </c>
      <c r="L282" s="32" t="s">
        <v>1124</v>
      </c>
      <c r="M282" s="31">
        <f>2296</f>
        <v>2296</v>
      </c>
      <c r="N282" s="32" t="s">
        <v>1124</v>
      </c>
      <c r="O282" s="31">
        <f>2211.5</f>
        <v>2211.5</v>
      </c>
      <c r="P282" s="32" t="s">
        <v>684</v>
      </c>
      <c r="Q282" s="31">
        <f>2236.5</f>
        <v>2236.5</v>
      </c>
      <c r="R282" s="32" t="s">
        <v>682</v>
      </c>
      <c r="S282" s="33">
        <f>2250.25</f>
        <v>2250.25</v>
      </c>
      <c r="T282" s="30">
        <f>800</f>
        <v>800</v>
      </c>
      <c r="U282" s="30">
        <f>20</f>
        <v>20</v>
      </c>
      <c r="V282" s="30">
        <f>1798150</f>
        <v>1798150</v>
      </c>
      <c r="W282" s="30">
        <f>44730</f>
        <v>44730</v>
      </c>
      <c r="X282" s="34">
        <f>4</f>
        <v>4</v>
      </c>
    </row>
    <row r="283" spans="1:24">
      <c r="A283" s="25" t="s">
        <v>1246</v>
      </c>
      <c r="B283" s="25" t="s">
        <v>579</v>
      </c>
      <c r="C283" s="25" t="s">
        <v>580</v>
      </c>
      <c r="D283" s="25" t="s">
        <v>581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2772.5</f>
        <v>2772.5</v>
      </c>
      <c r="L283" s="32" t="s">
        <v>1116</v>
      </c>
      <c r="M283" s="31">
        <f>2890</f>
        <v>2890</v>
      </c>
      <c r="N283" s="32" t="s">
        <v>777</v>
      </c>
      <c r="O283" s="31">
        <f>2750</f>
        <v>2750</v>
      </c>
      <c r="P283" s="32" t="s">
        <v>680</v>
      </c>
      <c r="Q283" s="31">
        <f>2867</f>
        <v>2867</v>
      </c>
      <c r="R283" s="32" t="s">
        <v>777</v>
      </c>
      <c r="S283" s="33">
        <f>2817.12</f>
        <v>2817.12</v>
      </c>
      <c r="T283" s="30">
        <f>1295860</f>
        <v>1295860</v>
      </c>
      <c r="U283" s="30">
        <f>1048950</f>
        <v>1048950</v>
      </c>
      <c r="V283" s="30">
        <f>3640001775</f>
        <v>3640001775</v>
      </c>
      <c r="W283" s="30">
        <f>2941916970</f>
        <v>2941916970</v>
      </c>
      <c r="X283" s="34">
        <f>21</f>
        <v>21</v>
      </c>
    </row>
    <row r="284" spans="1:24">
      <c r="A284" s="25" t="s">
        <v>1246</v>
      </c>
      <c r="B284" s="25" t="s">
        <v>582</v>
      </c>
      <c r="C284" s="25" t="s">
        <v>583</v>
      </c>
      <c r="D284" s="25" t="s">
        <v>584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</v>
      </c>
      <c r="K284" s="31">
        <f>38420</f>
        <v>38420</v>
      </c>
      <c r="L284" s="32" t="s">
        <v>1116</v>
      </c>
      <c r="M284" s="31">
        <f>40770</f>
        <v>40770</v>
      </c>
      <c r="N284" s="32" t="s">
        <v>1111</v>
      </c>
      <c r="O284" s="31">
        <f>38420</f>
        <v>38420</v>
      </c>
      <c r="P284" s="32" t="s">
        <v>1116</v>
      </c>
      <c r="Q284" s="31">
        <f>40300</f>
        <v>40300</v>
      </c>
      <c r="R284" s="32" t="s">
        <v>777</v>
      </c>
      <c r="S284" s="33">
        <f>39637.37</f>
        <v>39637.370000000003</v>
      </c>
      <c r="T284" s="30">
        <f>56951</f>
        <v>56951</v>
      </c>
      <c r="U284" s="30">
        <f>1311</f>
        <v>1311</v>
      </c>
      <c r="V284" s="30">
        <f>2252421710</f>
        <v>2252421710</v>
      </c>
      <c r="W284" s="30">
        <f>51370060</f>
        <v>51370060</v>
      </c>
      <c r="X284" s="34">
        <f>19</f>
        <v>19</v>
      </c>
    </row>
    <row r="285" spans="1:24">
      <c r="A285" s="25" t="s">
        <v>1246</v>
      </c>
      <c r="B285" s="25" t="s">
        <v>585</v>
      </c>
      <c r="C285" s="25" t="s">
        <v>586</v>
      </c>
      <c r="D285" s="25" t="s">
        <v>587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24955</f>
        <v>24955</v>
      </c>
      <c r="L285" s="32" t="s">
        <v>1116</v>
      </c>
      <c r="M285" s="31">
        <f>25945</f>
        <v>25945</v>
      </c>
      <c r="N285" s="32" t="s">
        <v>777</v>
      </c>
      <c r="O285" s="31">
        <f>24955</f>
        <v>24955</v>
      </c>
      <c r="P285" s="32" t="s">
        <v>1116</v>
      </c>
      <c r="Q285" s="31">
        <f>25735</f>
        <v>25735</v>
      </c>
      <c r="R285" s="32" t="s">
        <v>777</v>
      </c>
      <c r="S285" s="33">
        <f>25413.33</f>
        <v>25413.33</v>
      </c>
      <c r="T285" s="30">
        <f>9108</f>
        <v>9108</v>
      </c>
      <c r="U285" s="30" t="str">
        <f>"－"</f>
        <v>－</v>
      </c>
      <c r="V285" s="30">
        <f>233141270</f>
        <v>233141270</v>
      </c>
      <c r="W285" s="30" t="str">
        <f>"－"</f>
        <v>－</v>
      </c>
      <c r="X285" s="34">
        <f>15</f>
        <v>15</v>
      </c>
    </row>
    <row r="286" spans="1:24">
      <c r="A286" s="25" t="s">
        <v>1246</v>
      </c>
      <c r="B286" s="25" t="s">
        <v>588</v>
      </c>
      <c r="C286" s="25" t="s">
        <v>589</v>
      </c>
      <c r="D286" s="25" t="s">
        <v>590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10</v>
      </c>
      <c r="K286" s="31">
        <f>1020.5</f>
        <v>1020.5</v>
      </c>
      <c r="L286" s="32" t="s">
        <v>1116</v>
      </c>
      <c r="M286" s="31">
        <f>1030</f>
        <v>1030</v>
      </c>
      <c r="N286" s="32" t="s">
        <v>777</v>
      </c>
      <c r="O286" s="31">
        <f>990.8</f>
        <v>990.8</v>
      </c>
      <c r="P286" s="32" t="s">
        <v>680</v>
      </c>
      <c r="Q286" s="31">
        <f>1029</f>
        <v>1029</v>
      </c>
      <c r="R286" s="32" t="s">
        <v>777</v>
      </c>
      <c r="S286" s="33">
        <f>1006.97</f>
        <v>1006.97</v>
      </c>
      <c r="T286" s="30">
        <f>387000</f>
        <v>387000</v>
      </c>
      <c r="U286" s="30">
        <f>200010</f>
        <v>200010</v>
      </c>
      <c r="V286" s="30">
        <f>389566053</f>
        <v>389566053</v>
      </c>
      <c r="W286" s="30">
        <f>201067400</f>
        <v>201067400</v>
      </c>
      <c r="X286" s="34">
        <f>20</f>
        <v>20</v>
      </c>
    </row>
    <row r="287" spans="1:24">
      <c r="A287" s="25" t="s">
        <v>1246</v>
      </c>
      <c r="B287" s="25" t="s">
        <v>591</v>
      </c>
      <c r="C287" s="25" t="s">
        <v>946</v>
      </c>
      <c r="D287" s="25" t="s">
        <v>947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</v>
      </c>
      <c r="K287" s="31">
        <f>1007</f>
        <v>1007</v>
      </c>
      <c r="L287" s="32" t="s">
        <v>1116</v>
      </c>
      <c r="M287" s="31">
        <f>1010</f>
        <v>1010</v>
      </c>
      <c r="N287" s="32" t="s">
        <v>777</v>
      </c>
      <c r="O287" s="31">
        <f>971</f>
        <v>971</v>
      </c>
      <c r="P287" s="32" t="s">
        <v>680</v>
      </c>
      <c r="Q287" s="31">
        <f>999</f>
        <v>999</v>
      </c>
      <c r="R287" s="32" t="s">
        <v>777</v>
      </c>
      <c r="S287" s="33">
        <f>986.81</f>
        <v>986.81</v>
      </c>
      <c r="T287" s="30">
        <f>1501506</f>
        <v>1501506</v>
      </c>
      <c r="U287" s="30">
        <f>1180905</f>
        <v>1180905</v>
      </c>
      <c r="V287" s="30">
        <f>1490108862</f>
        <v>1490108862</v>
      </c>
      <c r="W287" s="30">
        <f>1176110350</f>
        <v>1176110350</v>
      </c>
      <c r="X287" s="34">
        <f>21</f>
        <v>21</v>
      </c>
    </row>
    <row r="288" spans="1:24">
      <c r="A288" s="25" t="s">
        <v>1246</v>
      </c>
      <c r="B288" s="25" t="s">
        <v>592</v>
      </c>
      <c r="C288" s="25" t="s">
        <v>593</v>
      </c>
      <c r="D288" s="25" t="s">
        <v>594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1648</f>
        <v>1648</v>
      </c>
      <c r="L288" s="32" t="s">
        <v>1116</v>
      </c>
      <c r="M288" s="31">
        <f>1704</f>
        <v>1704</v>
      </c>
      <c r="N288" s="32" t="s">
        <v>777</v>
      </c>
      <c r="O288" s="31">
        <f>1622</f>
        <v>1622</v>
      </c>
      <c r="P288" s="32" t="s">
        <v>680</v>
      </c>
      <c r="Q288" s="31">
        <f>1695</f>
        <v>1695</v>
      </c>
      <c r="R288" s="32" t="s">
        <v>777</v>
      </c>
      <c r="S288" s="33">
        <f>1660.62</f>
        <v>1660.62</v>
      </c>
      <c r="T288" s="30">
        <f>177361</f>
        <v>177361</v>
      </c>
      <c r="U288" s="30">
        <f>24175</f>
        <v>24175</v>
      </c>
      <c r="V288" s="30">
        <f>293968115</f>
        <v>293968115</v>
      </c>
      <c r="W288" s="30">
        <f>39902792</f>
        <v>39902792</v>
      </c>
      <c r="X288" s="34">
        <f>21</f>
        <v>21</v>
      </c>
    </row>
    <row r="289" spans="1:24">
      <c r="A289" s="25" t="s">
        <v>1246</v>
      </c>
      <c r="B289" s="25" t="s">
        <v>595</v>
      </c>
      <c r="C289" s="25" t="s">
        <v>596</v>
      </c>
      <c r="D289" s="25" t="s">
        <v>597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14480</f>
        <v>14480</v>
      </c>
      <c r="L289" s="32" t="s">
        <v>1116</v>
      </c>
      <c r="M289" s="31">
        <f>16485</f>
        <v>16485</v>
      </c>
      <c r="N289" s="32" t="s">
        <v>759</v>
      </c>
      <c r="O289" s="31">
        <f>14050</f>
        <v>14050</v>
      </c>
      <c r="P289" s="32" t="s">
        <v>674</v>
      </c>
      <c r="Q289" s="31">
        <f>14980</f>
        <v>14980</v>
      </c>
      <c r="R289" s="32" t="s">
        <v>777</v>
      </c>
      <c r="S289" s="33">
        <f>14567.86</f>
        <v>14567.86</v>
      </c>
      <c r="T289" s="30">
        <f>17047</f>
        <v>17047</v>
      </c>
      <c r="U289" s="30">
        <f>2</f>
        <v>2</v>
      </c>
      <c r="V289" s="30">
        <f>252758520</f>
        <v>252758520</v>
      </c>
      <c r="W289" s="30">
        <f>29960</f>
        <v>29960</v>
      </c>
      <c r="X289" s="34">
        <f>21</f>
        <v>21</v>
      </c>
    </row>
    <row r="290" spans="1:24">
      <c r="A290" s="25" t="s">
        <v>1246</v>
      </c>
      <c r="B290" s="25" t="s">
        <v>598</v>
      </c>
      <c r="C290" s="25" t="s">
        <v>599</v>
      </c>
      <c r="D290" s="25" t="s">
        <v>600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1800</f>
        <v>1800</v>
      </c>
      <c r="L290" s="32" t="s">
        <v>1116</v>
      </c>
      <c r="M290" s="31">
        <f>1811</f>
        <v>1811</v>
      </c>
      <c r="N290" s="32" t="s">
        <v>1111</v>
      </c>
      <c r="O290" s="31">
        <f>1729</f>
        <v>1729</v>
      </c>
      <c r="P290" s="32" t="s">
        <v>680</v>
      </c>
      <c r="Q290" s="31">
        <f>1781</f>
        <v>1781</v>
      </c>
      <c r="R290" s="32" t="s">
        <v>777</v>
      </c>
      <c r="S290" s="33">
        <f>1762.48</f>
        <v>1762.48</v>
      </c>
      <c r="T290" s="30">
        <f>813635</f>
        <v>813635</v>
      </c>
      <c r="U290" s="30">
        <f>737000</f>
        <v>737000</v>
      </c>
      <c r="V290" s="30">
        <f>1433046905</f>
        <v>1433046905</v>
      </c>
      <c r="W290" s="30">
        <f>1297775300</f>
        <v>1297775300</v>
      </c>
      <c r="X290" s="34">
        <f>21</f>
        <v>21</v>
      </c>
    </row>
    <row r="291" spans="1:24">
      <c r="A291" s="25" t="s">
        <v>1246</v>
      </c>
      <c r="B291" s="25" t="s">
        <v>601</v>
      </c>
      <c r="C291" s="25" t="s">
        <v>602</v>
      </c>
      <c r="D291" s="25" t="s">
        <v>603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10</v>
      </c>
      <c r="K291" s="31">
        <f>1616</f>
        <v>1616</v>
      </c>
      <c r="L291" s="32" t="s">
        <v>1116</v>
      </c>
      <c r="M291" s="31">
        <f>2000</f>
        <v>2000</v>
      </c>
      <c r="N291" s="32" t="s">
        <v>759</v>
      </c>
      <c r="O291" s="31">
        <f>1616</f>
        <v>1616</v>
      </c>
      <c r="P291" s="32" t="s">
        <v>1116</v>
      </c>
      <c r="Q291" s="31">
        <f>1733</f>
        <v>1733</v>
      </c>
      <c r="R291" s="32" t="s">
        <v>777</v>
      </c>
      <c r="S291" s="33">
        <f>1706.9</f>
        <v>1706.9</v>
      </c>
      <c r="T291" s="30">
        <f>401750</f>
        <v>401750</v>
      </c>
      <c r="U291" s="30">
        <f>10</f>
        <v>10</v>
      </c>
      <c r="V291" s="30">
        <f>715025965</f>
        <v>715025965</v>
      </c>
      <c r="W291" s="30">
        <f>17330</f>
        <v>17330</v>
      </c>
      <c r="X291" s="34">
        <f>21</f>
        <v>21</v>
      </c>
    </row>
    <row r="292" spans="1:24">
      <c r="A292" s="25" t="s">
        <v>1246</v>
      </c>
      <c r="B292" s="25" t="s">
        <v>604</v>
      </c>
      <c r="C292" s="25" t="s">
        <v>685</v>
      </c>
      <c r="D292" s="25" t="s">
        <v>686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10</v>
      </c>
      <c r="K292" s="31">
        <f>799.9</f>
        <v>799.9</v>
      </c>
      <c r="L292" s="32" t="s">
        <v>1116</v>
      </c>
      <c r="M292" s="31">
        <f>799.9</f>
        <v>799.9</v>
      </c>
      <c r="N292" s="32" t="s">
        <v>1116</v>
      </c>
      <c r="O292" s="31">
        <f>776.2</f>
        <v>776.2</v>
      </c>
      <c r="P292" s="32" t="s">
        <v>778</v>
      </c>
      <c r="Q292" s="31">
        <f>779.4</f>
        <v>779.4</v>
      </c>
      <c r="R292" s="32" t="s">
        <v>777</v>
      </c>
      <c r="S292" s="33">
        <f>788.4</f>
        <v>788.4</v>
      </c>
      <c r="T292" s="30">
        <f>1323480</f>
        <v>1323480</v>
      </c>
      <c r="U292" s="30">
        <f>1060010</f>
        <v>1060010</v>
      </c>
      <c r="V292" s="30">
        <f>1043012934</f>
        <v>1043012934</v>
      </c>
      <c r="W292" s="30">
        <f>836125446</f>
        <v>836125446</v>
      </c>
      <c r="X292" s="34">
        <f>21</f>
        <v>21</v>
      </c>
    </row>
    <row r="293" spans="1:24">
      <c r="A293" s="25" t="s">
        <v>1246</v>
      </c>
      <c r="B293" s="25" t="s">
        <v>605</v>
      </c>
      <c r="C293" s="25" t="s">
        <v>606</v>
      </c>
      <c r="D293" s="25" t="s">
        <v>607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1717</f>
        <v>1717</v>
      </c>
      <c r="L293" s="32" t="s">
        <v>1116</v>
      </c>
      <c r="M293" s="31">
        <f>1749</f>
        <v>1749</v>
      </c>
      <c r="N293" s="32" t="s">
        <v>684</v>
      </c>
      <c r="O293" s="31">
        <f>1664</f>
        <v>1664</v>
      </c>
      <c r="P293" s="32" t="s">
        <v>680</v>
      </c>
      <c r="Q293" s="31">
        <f>1719</f>
        <v>1719</v>
      </c>
      <c r="R293" s="32" t="s">
        <v>777</v>
      </c>
      <c r="S293" s="33">
        <f>1696.4</f>
        <v>1696.4</v>
      </c>
      <c r="T293" s="30">
        <f>2061480</f>
        <v>2061480</v>
      </c>
      <c r="U293" s="30">
        <f>1723840</f>
        <v>1723840</v>
      </c>
      <c r="V293" s="30">
        <f>3479369114</f>
        <v>3479369114</v>
      </c>
      <c r="W293" s="30">
        <f>2909278689</f>
        <v>2909278689</v>
      </c>
      <c r="X293" s="34">
        <f>21</f>
        <v>21</v>
      </c>
    </row>
    <row r="294" spans="1:24">
      <c r="A294" s="25" t="s">
        <v>1246</v>
      </c>
      <c r="B294" s="25" t="s">
        <v>608</v>
      </c>
      <c r="C294" s="25" t="s">
        <v>609</v>
      </c>
      <c r="D294" s="25" t="s">
        <v>610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1713.5</f>
        <v>1713.5</v>
      </c>
      <c r="L294" s="32" t="s">
        <v>1116</v>
      </c>
      <c r="M294" s="31">
        <f>1735</f>
        <v>1735</v>
      </c>
      <c r="N294" s="32" t="s">
        <v>777</v>
      </c>
      <c r="O294" s="31">
        <f>1657.5</f>
        <v>1657.5</v>
      </c>
      <c r="P294" s="32" t="s">
        <v>680</v>
      </c>
      <c r="Q294" s="31">
        <f>1723.5</f>
        <v>1723.5</v>
      </c>
      <c r="R294" s="32" t="s">
        <v>777</v>
      </c>
      <c r="S294" s="33">
        <f>1690.86</f>
        <v>1690.86</v>
      </c>
      <c r="T294" s="30">
        <f>1516160</f>
        <v>1516160</v>
      </c>
      <c r="U294" s="30">
        <f>630610</f>
        <v>630610</v>
      </c>
      <c r="V294" s="30">
        <f>2561735867</f>
        <v>2561735867</v>
      </c>
      <c r="W294" s="30">
        <f>1067319637</f>
        <v>1067319637</v>
      </c>
      <c r="X294" s="34">
        <f>21</f>
        <v>21</v>
      </c>
    </row>
    <row r="295" spans="1:24">
      <c r="A295" s="25" t="s">
        <v>1246</v>
      </c>
      <c r="B295" s="25" t="s">
        <v>611</v>
      </c>
      <c r="C295" s="25" t="s">
        <v>612</v>
      </c>
      <c r="D295" s="25" t="s">
        <v>613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2708</f>
        <v>2708</v>
      </c>
      <c r="L295" s="32" t="s">
        <v>1116</v>
      </c>
      <c r="M295" s="31">
        <f>2839.5</f>
        <v>2839.5</v>
      </c>
      <c r="N295" s="32" t="s">
        <v>777</v>
      </c>
      <c r="O295" s="31">
        <f>2708</f>
        <v>2708</v>
      </c>
      <c r="P295" s="32" t="s">
        <v>1116</v>
      </c>
      <c r="Q295" s="31">
        <f>2813</f>
        <v>2813</v>
      </c>
      <c r="R295" s="32" t="s">
        <v>777</v>
      </c>
      <c r="S295" s="33">
        <f>2767.9</f>
        <v>2767.9</v>
      </c>
      <c r="T295" s="30">
        <f>258740</f>
        <v>258740</v>
      </c>
      <c r="U295" s="30">
        <f>10</f>
        <v>10</v>
      </c>
      <c r="V295" s="30">
        <f>715206105</f>
        <v>715206105</v>
      </c>
      <c r="W295" s="30">
        <f>28130</f>
        <v>28130</v>
      </c>
      <c r="X295" s="34">
        <f>21</f>
        <v>21</v>
      </c>
    </row>
    <row r="296" spans="1:24">
      <c r="A296" s="25" t="s">
        <v>1246</v>
      </c>
      <c r="B296" s="25" t="s">
        <v>614</v>
      </c>
      <c r="C296" s="25" t="s">
        <v>615</v>
      </c>
      <c r="D296" s="25" t="s">
        <v>616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</v>
      </c>
      <c r="K296" s="31">
        <f>26100</f>
        <v>26100</v>
      </c>
      <c r="L296" s="32" t="s">
        <v>1116</v>
      </c>
      <c r="M296" s="31">
        <f>27385</f>
        <v>27385</v>
      </c>
      <c r="N296" s="32" t="s">
        <v>1111</v>
      </c>
      <c r="O296" s="31">
        <f>26060</f>
        <v>26060</v>
      </c>
      <c r="P296" s="32" t="s">
        <v>680</v>
      </c>
      <c r="Q296" s="31">
        <f>27090</f>
        <v>27090</v>
      </c>
      <c r="R296" s="32" t="s">
        <v>777</v>
      </c>
      <c r="S296" s="33">
        <f>26578.1</f>
        <v>26578.1</v>
      </c>
      <c r="T296" s="30">
        <f>943449</f>
        <v>943449</v>
      </c>
      <c r="U296" s="30">
        <f>82779</f>
        <v>82779</v>
      </c>
      <c r="V296" s="30">
        <f>25205852742</f>
        <v>25205852742</v>
      </c>
      <c r="W296" s="30">
        <f>2215011142</f>
        <v>2215011142</v>
      </c>
      <c r="X296" s="34">
        <f>21</f>
        <v>21</v>
      </c>
    </row>
    <row r="297" spans="1:24">
      <c r="A297" s="25" t="s">
        <v>1246</v>
      </c>
      <c r="B297" s="25" t="s">
        <v>617</v>
      </c>
      <c r="C297" s="25" t="s">
        <v>618</v>
      </c>
      <c r="D297" s="25" t="s">
        <v>619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21400</f>
        <v>21400</v>
      </c>
      <c r="L297" s="32" t="s">
        <v>1116</v>
      </c>
      <c r="M297" s="31">
        <f>22140</f>
        <v>22140</v>
      </c>
      <c r="N297" s="32" t="s">
        <v>1111</v>
      </c>
      <c r="O297" s="31">
        <f>21205</f>
        <v>21205</v>
      </c>
      <c r="P297" s="32" t="s">
        <v>680</v>
      </c>
      <c r="Q297" s="31">
        <f>22030</f>
        <v>22030</v>
      </c>
      <c r="R297" s="32" t="s">
        <v>777</v>
      </c>
      <c r="S297" s="33">
        <f>21668.1</f>
        <v>21668.1</v>
      </c>
      <c r="T297" s="30">
        <f>300242</f>
        <v>300242</v>
      </c>
      <c r="U297" s="30">
        <f>3321</f>
        <v>3321</v>
      </c>
      <c r="V297" s="30">
        <f>6511816203</f>
        <v>6511816203</v>
      </c>
      <c r="W297" s="30">
        <f>71637803</f>
        <v>71637803</v>
      </c>
      <c r="X297" s="34">
        <f>21</f>
        <v>21</v>
      </c>
    </row>
    <row r="298" spans="1:24">
      <c r="A298" s="25" t="s">
        <v>1246</v>
      </c>
      <c r="B298" s="25" t="s">
        <v>620</v>
      </c>
      <c r="C298" s="25" t="s">
        <v>621</v>
      </c>
      <c r="D298" s="25" t="s">
        <v>622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36880</f>
        <v>36880</v>
      </c>
      <c r="L298" s="32" t="s">
        <v>1116</v>
      </c>
      <c r="M298" s="31">
        <f>37280</f>
        <v>37280</v>
      </c>
      <c r="N298" s="32" t="s">
        <v>1111</v>
      </c>
      <c r="O298" s="31">
        <f>36300</f>
        <v>36300</v>
      </c>
      <c r="P298" s="32" t="s">
        <v>679</v>
      </c>
      <c r="Q298" s="31">
        <f>37250</f>
        <v>37250</v>
      </c>
      <c r="R298" s="32" t="s">
        <v>1111</v>
      </c>
      <c r="S298" s="33">
        <f>36664.29</f>
        <v>36664.29</v>
      </c>
      <c r="T298" s="30">
        <f>45</f>
        <v>45</v>
      </c>
      <c r="U298" s="30">
        <f>1</f>
        <v>1</v>
      </c>
      <c r="V298" s="30">
        <f>1641810</f>
        <v>1641810</v>
      </c>
      <c r="W298" s="30">
        <f>37250</f>
        <v>37250</v>
      </c>
      <c r="X298" s="34">
        <f>7</f>
        <v>7</v>
      </c>
    </row>
    <row r="299" spans="1:24">
      <c r="A299" s="25" t="s">
        <v>1246</v>
      </c>
      <c r="B299" s="25" t="s">
        <v>623</v>
      </c>
      <c r="C299" s="25" t="s">
        <v>624</v>
      </c>
      <c r="D299" s="25" t="s">
        <v>625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2325</f>
        <v>2325</v>
      </c>
      <c r="L299" s="32" t="s">
        <v>1116</v>
      </c>
      <c r="M299" s="31">
        <f>2345</f>
        <v>2345</v>
      </c>
      <c r="N299" s="32" t="s">
        <v>1123</v>
      </c>
      <c r="O299" s="31">
        <f>2320</f>
        <v>2320</v>
      </c>
      <c r="P299" s="32" t="s">
        <v>1116</v>
      </c>
      <c r="Q299" s="31">
        <f>2333</f>
        <v>2333</v>
      </c>
      <c r="R299" s="32" t="s">
        <v>777</v>
      </c>
      <c r="S299" s="33">
        <f>2334.38</f>
        <v>2334.38</v>
      </c>
      <c r="T299" s="30">
        <f>2461640</f>
        <v>2461640</v>
      </c>
      <c r="U299" s="30">
        <f>2243349</f>
        <v>2243349</v>
      </c>
      <c r="V299" s="30">
        <f>5761728286</f>
        <v>5761728286</v>
      </c>
      <c r="W299" s="30">
        <f>5252107597</f>
        <v>5252107597</v>
      </c>
      <c r="X299" s="34">
        <f>21</f>
        <v>21</v>
      </c>
    </row>
    <row r="300" spans="1:24">
      <c r="A300" s="25" t="s">
        <v>1246</v>
      </c>
      <c r="B300" s="25" t="s">
        <v>626</v>
      </c>
      <c r="C300" s="25" t="s">
        <v>627</v>
      </c>
      <c r="D300" s="25" t="s">
        <v>628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10</v>
      </c>
      <c r="K300" s="31">
        <f>3346</f>
        <v>3346</v>
      </c>
      <c r="L300" s="32" t="s">
        <v>1116</v>
      </c>
      <c r="M300" s="31">
        <f>3356</f>
        <v>3356</v>
      </c>
      <c r="N300" s="32" t="s">
        <v>674</v>
      </c>
      <c r="O300" s="31">
        <f>3126</f>
        <v>3126</v>
      </c>
      <c r="P300" s="32" t="s">
        <v>1118</v>
      </c>
      <c r="Q300" s="31">
        <f>3186</f>
        <v>3186</v>
      </c>
      <c r="R300" s="32" t="s">
        <v>777</v>
      </c>
      <c r="S300" s="33">
        <f>3259.24</f>
        <v>3259.24</v>
      </c>
      <c r="T300" s="30">
        <f>5776460</f>
        <v>5776460</v>
      </c>
      <c r="U300" s="30">
        <f>5092340</f>
        <v>5092340</v>
      </c>
      <c r="V300" s="30">
        <f>18741839751</f>
        <v>18741839751</v>
      </c>
      <c r="W300" s="30">
        <f>16524908271</f>
        <v>16524908271</v>
      </c>
      <c r="X300" s="34">
        <f>21</f>
        <v>21</v>
      </c>
    </row>
    <row r="301" spans="1:24">
      <c r="A301" s="25" t="s">
        <v>1246</v>
      </c>
      <c r="B301" s="25" t="s">
        <v>629</v>
      </c>
      <c r="C301" s="25" t="s">
        <v>630</v>
      </c>
      <c r="D301" s="25" t="s">
        <v>631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340.5</f>
        <v>340.5</v>
      </c>
      <c r="L301" s="32" t="s">
        <v>1116</v>
      </c>
      <c r="M301" s="31">
        <f>343.7</f>
        <v>343.7</v>
      </c>
      <c r="N301" s="32" t="s">
        <v>876</v>
      </c>
      <c r="O301" s="31">
        <f>328.4</f>
        <v>328.4</v>
      </c>
      <c r="P301" s="32" t="s">
        <v>1118</v>
      </c>
      <c r="Q301" s="31">
        <f>336.2</f>
        <v>336.2</v>
      </c>
      <c r="R301" s="32" t="s">
        <v>777</v>
      </c>
      <c r="S301" s="33">
        <f>339.69</f>
        <v>339.69</v>
      </c>
      <c r="T301" s="30">
        <f>66928440</f>
        <v>66928440</v>
      </c>
      <c r="U301" s="30">
        <f>34054170</f>
        <v>34054170</v>
      </c>
      <c r="V301" s="30">
        <f>22678120582</f>
        <v>22678120582</v>
      </c>
      <c r="W301" s="30">
        <f>11548269868</f>
        <v>11548269868</v>
      </c>
      <c r="X301" s="34">
        <f>21</f>
        <v>21</v>
      </c>
    </row>
    <row r="302" spans="1:24">
      <c r="A302" s="25" t="s">
        <v>1246</v>
      </c>
      <c r="B302" s="25" t="s">
        <v>632</v>
      </c>
      <c r="C302" s="25" t="s">
        <v>633</v>
      </c>
      <c r="D302" s="25" t="s">
        <v>634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</v>
      </c>
      <c r="K302" s="31">
        <f>2670</f>
        <v>2670</v>
      </c>
      <c r="L302" s="32" t="s">
        <v>1116</v>
      </c>
      <c r="M302" s="31">
        <f>2740</f>
        <v>2740</v>
      </c>
      <c r="N302" s="32" t="s">
        <v>777</v>
      </c>
      <c r="O302" s="31">
        <f>2608</f>
        <v>2608</v>
      </c>
      <c r="P302" s="32" t="s">
        <v>680</v>
      </c>
      <c r="Q302" s="31">
        <f>2725</f>
        <v>2725</v>
      </c>
      <c r="R302" s="32" t="s">
        <v>777</v>
      </c>
      <c r="S302" s="33">
        <f>2665.19</f>
        <v>2665.19</v>
      </c>
      <c r="T302" s="30">
        <f>766828</f>
        <v>766828</v>
      </c>
      <c r="U302" s="30">
        <f>91249</f>
        <v>91249</v>
      </c>
      <c r="V302" s="30">
        <f>2045571104</f>
        <v>2045571104</v>
      </c>
      <c r="W302" s="30">
        <f>242113042</f>
        <v>242113042</v>
      </c>
      <c r="X302" s="34">
        <f>21</f>
        <v>21</v>
      </c>
    </row>
    <row r="303" spans="1:24">
      <c r="A303" s="25" t="s">
        <v>1246</v>
      </c>
      <c r="B303" s="25" t="s">
        <v>635</v>
      </c>
      <c r="C303" s="25" t="s">
        <v>636</v>
      </c>
      <c r="D303" s="25" t="s">
        <v>637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835</f>
        <v>835</v>
      </c>
      <c r="L303" s="32" t="s">
        <v>1116</v>
      </c>
      <c r="M303" s="31">
        <f>836</f>
        <v>836</v>
      </c>
      <c r="N303" s="32" t="s">
        <v>1116</v>
      </c>
      <c r="O303" s="31">
        <f>795</f>
        <v>795</v>
      </c>
      <c r="P303" s="32" t="s">
        <v>680</v>
      </c>
      <c r="Q303" s="31">
        <f>814</f>
        <v>814</v>
      </c>
      <c r="R303" s="32" t="s">
        <v>777</v>
      </c>
      <c r="S303" s="33">
        <f>811.67</f>
        <v>811.67</v>
      </c>
      <c r="T303" s="30">
        <f>509301</f>
        <v>509301</v>
      </c>
      <c r="U303" s="30">
        <f>202166</f>
        <v>202166</v>
      </c>
      <c r="V303" s="30">
        <f>407208826</f>
        <v>407208826</v>
      </c>
      <c r="W303" s="30">
        <f>160578698</f>
        <v>160578698</v>
      </c>
      <c r="X303" s="34">
        <f>21</f>
        <v>21</v>
      </c>
    </row>
    <row r="304" spans="1:24">
      <c r="A304" s="25" t="s">
        <v>1246</v>
      </c>
      <c r="B304" s="25" t="s">
        <v>638</v>
      </c>
      <c r="C304" s="25" t="s">
        <v>639</v>
      </c>
      <c r="D304" s="25" t="s">
        <v>640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10</v>
      </c>
      <c r="K304" s="31">
        <f>940.1</f>
        <v>940.1</v>
      </c>
      <c r="L304" s="32" t="s">
        <v>1116</v>
      </c>
      <c r="M304" s="31">
        <f>949</f>
        <v>949</v>
      </c>
      <c r="N304" s="32" t="s">
        <v>777</v>
      </c>
      <c r="O304" s="31">
        <f>911.3</f>
        <v>911.3</v>
      </c>
      <c r="P304" s="32" t="s">
        <v>680</v>
      </c>
      <c r="Q304" s="31">
        <f>939.9</f>
        <v>939.9</v>
      </c>
      <c r="R304" s="32" t="s">
        <v>777</v>
      </c>
      <c r="S304" s="33">
        <f>927.47</f>
        <v>927.47</v>
      </c>
      <c r="T304" s="30">
        <f>6922990</f>
        <v>6922990</v>
      </c>
      <c r="U304" s="30">
        <f>6763900</f>
        <v>6763900</v>
      </c>
      <c r="V304" s="30">
        <f>6371496076</f>
        <v>6371496076</v>
      </c>
      <c r="W304" s="30">
        <f>6224419189</f>
        <v>6224419189</v>
      </c>
      <c r="X304" s="34">
        <f>21</f>
        <v>21</v>
      </c>
    </row>
    <row r="305" spans="1:24">
      <c r="A305" s="25" t="s">
        <v>1246</v>
      </c>
      <c r="B305" s="25" t="s">
        <v>641</v>
      </c>
      <c r="C305" s="25" t="s">
        <v>642</v>
      </c>
      <c r="D305" s="25" t="s">
        <v>643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10</v>
      </c>
      <c r="K305" s="31">
        <f>349.3</f>
        <v>349.3</v>
      </c>
      <c r="L305" s="32" t="s">
        <v>1116</v>
      </c>
      <c r="M305" s="31">
        <f>373</f>
        <v>373</v>
      </c>
      <c r="N305" s="32" t="s">
        <v>777</v>
      </c>
      <c r="O305" s="31">
        <f>348.3</f>
        <v>348.3</v>
      </c>
      <c r="P305" s="32" t="s">
        <v>680</v>
      </c>
      <c r="Q305" s="31">
        <f>366.5</f>
        <v>366.5</v>
      </c>
      <c r="R305" s="32" t="s">
        <v>777</v>
      </c>
      <c r="S305" s="33">
        <f>361.55</f>
        <v>361.55</v>
      </c>
      <c r="T305" s="30">
        <f>4770</f>
        <v>4770</v>
      </c>
      <c r="U305" s="30">
        <f>10</f>
        <v>10</v>
      </c>
      <c r="V305" s="30">
        <f>1730232</f>
        <v>1730232</v>
      </c>
      <c r="W305" s="30">
        <f>3665</f>
        <v>3665</v>
      </c>
      <c r="X305" s="34">
        <f>20</f>
        <v>20</v>
      </c>
    </row>
    <row r="306" spans="1:24">
      <c r="A306" s="25" t="s">
        <v>1246</v>
      </c>
      <c r="B306" s="25" t="s">
        <v>644</v>
      </c>
      <c r="C306" s="25" t="s">
        <v>645</v>
      </c>
      <c r="D306" s="25" t="s">
        <v>646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10</v>
      </c>
      <c r="K306" s="31">
        <f>5383</f>
        <v>5383</v>
      </c>
      <c r="L306" s="32" t="s">
        <v>1116</v>
      </c>
      <c r="M306" s="31">
        <f>5914</f>
        <v>5914</v>
      </c>
      <c r="N306" s="32" t="s">
        <v>676</v>
      </c>
      <c r="O306" s="31">
        <f>5383</f>
        <v>5383</v>
      </c>
      <c r="P306" s="32" t="s">
        <v>1116</v>
      </c>
      <c r="Q306" s="31">
        <f>5822</f>
        <v>5822</v>
      </c>
      <c r="R306" s="32" t="s">
        <v>777</v>
      </c>
      <c r="S306" s="33">
        <f>5683.86</f>
        <v>5683.86</v>
      </c>
      <c r="T306" s="30">
        <f>2047950</f>
        <v>2047950</v>
      </c>
      <c r="U306" s="30">
        <f>1260130</f>
        <v>1260130</v>
      </c>
      <c r="V306" s="30">
        <f>11610062108</f>
        <v>11610062108</v>
      </c>
      <c r="W306" s="30">
        <f>7074540858</f>
        <v>7074540858</v>
      </c>
      <c r="X306" s="34">
        <f>21</f>
        <v>21</v>
      </c>
    </row>
    <row r="307" spans="1:24">
      <c r="A307" s="25" t="s">
        <v>1246</v>
      </c>
      <c r="B307" s="25" t="s">
        <v>647</v>
      </c>
      <c r="C307" s="25" t="s">
        <v>648</v>
      </c>
      <c r="D307" s="25" t="s">
        <v>649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10</v>
      </c>
      <c r="K307" s="31">
        <f>3245</f>
        <v>3245</v>
      </c>
      <c r="L307" s="32" t="s">
        <v>1116</v>
      </c>
      <c r="M307" s="31">
        <f>3430</f>
        <v>3430</v>
      </c>
      <c r="N307" s="32" t="s">
        <v>682</v>
      </c>
      <c r="O307" s="31">
        <f>3241</f>
        <v>3241</v>
      </c>
      <c r="P307" s="32" t="s">
        <v>1116</v>
      </c>
      <c r="Q307" s="31">
        <f>3313</f>
        <v>3313</v>
      </c>
      <c r="R307" s="32" t="s">
        <v>777</v>
      </c>
      <c r="S307" s="33">
        <f>3340.29</f>
        <v>3340.29</v>
      </c>
      <c r="T307" s="30">
        <f>7220180</f>
        <v>7220180</v>
      </c>
      <c r="U307" s="30">
        <f>4436910</f>
        <v>4436910</v>
      </c>
      <c r="V307" s="30">
        <f>23933495624</f>
        <v>23933495624</v>
      </c>
      <c r="W307" s="30">
        <f>14652153024</f>
        <v>14652153024</v>
      </c>
      <c r="X307" s="34">
        <f>21</f>
        <v>21</v>
      </c>
    </row>
    <row r="308" spans="1:24">
      <c r="A308" s="25" t="s">
        <v>1246</v>
      </c>
      <c r="B308" s="25" t="s">
        <v>1225</v>
      </c>
      <c r="C308" s="25" t="s">
        <v>1226</v>
      </c>
      <c r="D308" s="25" t="s">
        <v>1227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2090</f>
        <v>2090</v>
      </c>
      <c r="L308" s="32" t="s">
        <v>1116</v>
      </c>
      <c r="M308" s="31">
        <f>2259</f>
        <v>2259</v>
      </c>
      <c r="N308" s="32" t="s">
        <v>777</v>
      </c>
      <c r="O308" s="31">
        <f>2061</f>
        <v>2061</v>
      </c>
      <c r="P308" s="32" t="s">
        <v>1116</v>
      </c>
      <c r="Q308" s="31">
        <f>2180</f>
        <v>2180</v>
      </c>
      <c r="R308" s="32" t="s">
        <v>777</v>
      </c>
      <c r="S308" s="33">
        <f>2134.1</f>
        <v>2134.1</v>
      </c>
      <c r="T308" s="30">
        <f>7794</f>
        <v>7794</v>
      </c>
      <c r="U308" s="30" t="str">
        <f>"－"</f>
        <v>－</v>
      </c>
      <c r="V308" s="30">
        <f>16702093</f>
        <v>16702093</v>
      </c>
      <c r="W308" s="30" t="str">
        <f>"－"</f>
        <v>－</v>
      </c>
      <c r="X308" s="34">
        <f>21</f>
        <v>21</v>
      </c>
    </row>
    <row r="309" spans="1:24">
      <c r="A309" s="25" t="s">
        <v>1246</v>
      </c>
      <c r="B309" s="25" t="s">
        <v>1229</v>
      </c>
      <c r="C309" s="25" t="s">
        <v>1230</v>
      </c>
      <c r="D309" s="25" t="s">
        <v>1231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1939</f>
        <v>1939</v>
      </c>
      <c r="L309" s="32" t="s">
        <v>1116</v>
      </c>
      <c r="M309" s="31">
        <f>1963</f>
        <v>1963</v>
      </c>
      <c r="N309" s="32" t="s">
        <v>675</v>
      </c>
      <c r="O309" s="31">
        <f>1842</f>
        <v>1842</v>
      </c>
      <c r="P309" s="32" t="s">
        <v>680</v>
      </c>
      <c r="Q309" s="31">
        <f>1901</f>
        <v>1901</v>
      </c>
      <c r="R309" s="32" t="s">
        <v>777</v>
      </c>
      <c r="S309" s="33">
        <f>1874</f>
        <v>1874</v>
      </c>
      <c r="T309" s="30">
        <f>57926</f>
        <v>57926</v>
      </c>
      <c r="U309" s="30" t="str">
        <f>"－"</f>
        <v>－</v>
      </c>
      <c r="V309" s="30">
        <f>109199258</f>
        <v>109199258</v>
      </c>
      <c r="W309" s="30" t="str">
        <f>"－"</f>
        <v>－</v>
      </c>
      <c r="X309" s="34">
        <f>21</f>
        <v>21</v>
      </c>
    </row>
    <row r="310" spans="1:24">
      <c r="A310" s="25" t="s">
        <v>1246</v>
      </c>
      <c r="B310" s="25" t="s">
        <v>650</v>
      </c>
      <c r="C310" s="25" t="s">
        <v>651</v>
      </c>
      <c r="D310" s="25" t="s">
        <v>652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10</v>
      </c>
      <c r="K310" s="31">
        <f>344.5</f>
        <v>344.5</v>
      </c>
      <c r="L310" s="32" t="s">
        <v>1116</v>
      </c>
      <c r="M310" s="31">
        <f>362.8</f>
        <v>362.8</v>
      </c>
      <c r="N310" s="32" t="s">
        <v>777</v>
      </c>
      <c r="O310" s="31">
        <f>343</f>
        <v>343</v>
      </c>
      <c r="P310" s="32" t="s">
        <v>1145</v>
      </c>
      <c r="Q310" s="31">
        <f>362.5</f>
        <v>362.5</v>
      </c>
      <c r="R310" s="32" t="s">
        <v>777</v>
      </c>
      <c r="S310" s="33">
        <f>352.58</f>
        <v>352.58</v>
      </c>
      <c r="T310" s="30">
        <f>10164140</f>
        <v>10164140</v>
      </c>
      <c r="U310" s="30">
        <f>3344860</f>
        <v>3344860</v>
      </c>
      <c r="V310" s="30">
        <f>3573393833</f>
        <v>3573393833</v>
      </c>
      <c r="W310" s="30">
        <f>1149981886</f>
        <v>1149981886</v>
      </c>
      <c r="X310" s="34">
        <f>21</f>
        <v>21</v>
      </c>
    </row>
    <row r="311" spans="1:24">
      <c r="A311" s="25" t="s">
        <v>1246</v>
      </c>
      <c r="B311" s="25" t="s">
        <v>653</v>
      </c>
      <c r="C311" s="25" t="s">
        <v>654</v>
      </c>
      <c r="D311" s="25" t="s">
        <v>655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1215</f>
        <v>1215</v>
      </c>
      <c r="L311" s="32" t="s">
        <v>1116</v>
      </c>
      <c r="M311" s="31">
        <f>1226</f>
        <v>1226</v>
      </c>
      <c r="N311" s="32" t="s">
        <v>1124</v>
      </c>
      <c r="O311" s="31">
        <f>1125</f>
        <v>1125</v>
      </c>
      <c r="P311" s="32" t="s">
        <v>777</v>
      </c>
      <c r="Q311" s="31">
        <f>1130</f>
        <v>1130</v>
      </c>
      <c r="R311" s="32" t="s">
        <v>777</v>
      </c>
      <c r="S311" s="33">
        <f>1177.05</f>
        <v>1177.05</v>
      </c>
      <c r="T311" s="30">
        <f>42177960</f>
        <v>42177960</v>
      </c>
      <c r="U311" s="30">
        <f>1186568</f>
        <v>1186568</v>
      </c>
      <c r="V311" s="30">
        <f>49230962035</f>
        <v>49230962035</v>
      </c>
      <c r="W311" s="30">
        <f>1361993695</f>
        <v>1361993695</v>
      </c>
      <c r="X311" s="34">
        <f>21</f>
        <v>21</v>
      </c>
    </row>
    <row r="312" spans="1:24">
      <c r="A312" s="25" t="s">
        <v>1246</v>
      </c>
      <c r="B312" s="25" t="s">
        <v>656</v>
      </c>
      <c r="C312" s="25" t="s">
        <v>657</v>
      </c>
      <c r="D312" s="25" t="s">
        <v>658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1766</f>
        <v>1766</v>
      </c>
      <c r="L312" s="32" t="s">
        <v>1116</v>
      </c>
      <c r="M312" s="31">
        <f>1779</f>
        <v>1779</v>
      </c>
      <c r="N312" s="32" t="s">
        <v>876</v>
      </c>
      <c r="O312" s="31">
        <f>1708</f>
        <v>1708</v>
      </c>
      <c r="P312" s="32" t="s">
        <v>683</v>
      </c>
      <c r="Q312" s="31">
        <f>1723</f>
        <v>1723</v>
      </c>
      <c r="R312" s="32" t="s">
        <v>777</v>
      </c>
      <c r="S312" s="33">
        <f>1748.86</f>
        <v>1748.86</v>
      </c>
      <c r="T312" s="30">
        <f>55109</f>
        <v>55109</v>
      </c>
      <c r="U312" s="30">
        <f>1</f>
        <v>1</v>
      </c>
      <c r="V312" s="30">
        <f>95386731</f>
        <v>95386731</v>
      </c>
      <c r="W312" s="30">
        <f>1723</f>
        <v>1723</v>
      </c>
      <c r="X312" s="34">
        <f>21</f>
        <v>21</v>
      </c>
    </row>
    <row r="313" spans="1:24">
      <c r="A313" s="25" t="s">
        <v>1246</v>
      </c>
      <c r="B313" s="25" t="s">
        <v>659</v>
      </c>
      <c r="C313" s="25" t="s">
        <v>660</v>
      </c>
      <c r="D313" s="25" t="s">
        <v>661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2100</f>
        <v>2100</v>
      </c>
      <c r="L313" s="32" t="s">
        <v>1116</v>
      </c>
      <c r="M313" s="31">
        <f>2109</f>
        <v>2109</v>
      </c>
      <c r="N313" s="32" t="s">
        <v>759</v>
      </c>
      <c r="O313" s="31">
        <f>2079</f>
        <v>2079</v>
      </c>
      <c r="P313" s="32" t="s">
        <v>676</v>
      </c>
      <c r="Q313" s="31">
        <f>2081</f>
        <v>2081</v>
      </c>
      <c r="R313" s="32" t="s">
        <v>777</v>
      </c>
      <c r="S313" s="33">
        <f>2095.71</f>
        <v>2095.71</v>
      </c>
      <c r="T313" s="30">
        <f>1409035</f>
        <v>1409035</v>
      </c>
      <c r="U313" s="30">
        <f>1390000</f>
        <v>1390000</v>
      </c>
      <c r="V313" s="30">
        <f>2930935166</f>
        <v>2930935166</v>
      </c>
      <c r="W313" s="30">
        <f>2890922000</f>
        <v>2890922000</v>
      </c>
      <c r="X313" s="34">
        <f>21</f>
        <v>21</v>
      </c>
    </row>
    <row r="314" spans="1:24">
      <c r="A314" s="25" t="s">
        <v>1246</v>
      </c>
      <c r="B314" s="25" t="s">
        <v>662</v>
      </c>
      <c r="C314" s="25" t="s">
        <v>663</v>
      </c>
      <c r="D314" s="25" t="s">
        <v>948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3835</f>
        <v>3835</v>
      </c>
      <c r="L314" s="32" t="s">
        <v>1116</v>
      </c>
      <c r="M314" s="31">
        <f>4060</f>
        <v>4060</v>
      </c>
      <c r="N314" s="32" t="s">
        <v>1111</v>
      </c>
      <c r="O314" s="31">
        <f>3810</f>
        <v>3810</v>
      </c>
      <c r="P314" s="32" t="s">
        <v>1116</v>
      </c>
      <c r="Q314" s="31">
        <f>4015</f>
        <v>4015</v>
      </c>
      <c r="R314" s="32" t="s">
        <v>777</v>
      </c>
      <c r="S314" s="33">
        <f>3944.76</f>
        <v>3944.76</v>
      </c>
      <c r="T314" s="30">
        <f>2694828</f>
        <v>2694828</v>
      </c>
      <c r="U314" s="30">
        <f>1920679</f>
        <v>1920679</v>
      </c>
      <c r="V314" s="30">
        <f>10721647878</f>
        <v>10721647878</v>
      </c>
      <c r="W314" s="30">
        <f>7679083498</f>
        <v>7679083498</v>
      </c>
      <c r="X314" s="34">
        <f>21</f>
        <v>21</v>
      </c>
    </row>
    <row r="315" spans="1:24">
      <c r="A315" s="25" t="s">
        <v>1246</v>
      </c>
      <c r="B315" s="25" t="s">
        <v>664</v>
      </c>
      <c r="C315" s="25" t="s">
        <v>665</v>
      </c>
      <c r="D315" s="25" t="s">
        <v>949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2691</f>
        <v>2691</v>
      </c>
      <c r="L315" s="32" t="s">
        <v>1116</v>
      </c>
      <c r="M315" s="31">
        <f>2820</f>
        <v>2820</v>
      </c>
      <c r="N315" s="32" t="s">
        <v>777</v>
      </c>
      <c r="O315" s="31">
        <f>2679</f>
        <v>2679</v>
      </c>
      <c r="P315" s="32" t="s">
        <v>680</v>
      </c>
      <c r="Q315" s="31">
        <f>2797</f>
        <v>2797</v>
      </c>
      <c r="R315" s="32" t="s">
        <v>777</v>
      </c>
      <c r="S315" s="33">
        <f>2751.38</f>
        <v>2751.38</v>
      </c>
      <c r="T315" s="30">
        <f>289889</f>
        <v>289889</v>
      </c>
      <c r="U315" s="30">
        <f>2</f>
        <v>2</v>
      </c>
      <c r="V315" s="30">
        <f>802335340</f>
        <v>802335340</v>
      </c>
      <c r="W315" s="30">
        <f>5594</f>
        <v>5594</v>
      </c>
      <c r="X315" s="34">
        <f>21</f>
        <v>21</v>
      </c>
    </row>
    <row r="316" spans="1:24">
      <c r="A316" s="25" t="s">
        <v>1246</v>
      </c>
      <c r="B316" s="25" t="s">
        <v>666</v>
      </c>
      <c r="C316" s="25" t="s">
        <v>667</v>
      </c>
      <c r="D316" s="25" t="s">
        <v>668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2314</f>
        <v>2314</v>
      </c>
      <c r="L316" s="32" t="s">
        <v>1116</v>
      </c>
      <c r="M316" s="31">
        <f>2484</f>
        <v>2484</v>
      </c>
      <c r="N316" s="32" t="s">
        <v>678</v>
      </c>
      <c r="O316" s="31">
        <f>2314</f>
        <v>2314</v>
      </c>
      <c r="P316" s="32" t="s">
        <v>1116</v>
      </c>
      <c r="Q316" s="31">
        <f>2434</f>
        <v>2434</v>
      </c>
      <c r="R316" s="32" t="s">
        <v>777</v>
      </c>
      <c r="S316" s="33">
        <f>2417.19</f>
        <v>2417.19</v>
      </c>
      <c r="T316" s="30">
        <f>17215</f>
        <v>17215</v>
      </c>
      <c r="U316" s="30">
        <f>100</f>
        <v>100</v>
      </c>
      <c r="V316" s="30">
        <f>41671746</f>
        <v>41671746</v>
      </c>
      <c r="W316" s="30">
        <f>240310</f>
        <v>240310</v>
      </c>
      <c r="X316" s="34">
        <f>21</f>
        <v>21</v>
      </c>
    </row>
    <row r="317" spans="1:24">
      <c r="A317" s="25" t="s">
        <v>1246</v>
      </c>
      <c r="B317" s="25" t="s">
        <v>669</v>
      </c>
      <c r="C317" s="25" t="s">
        <v>670</v>
      </c>
      <c r="D317" s="25" t="s">
        <v>671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1373</f>
        <v>1373</v>
      </c>
      <c r="L317" s="32" t="s">
        <v>1116</v>
      </c>
      <c r="M317" s="31">
        <f>1420</f>
        <v>1420</v>
      </c>
      <c r="N317" s="32" t="s">
        <v>677</v>
      </c>
      <c r="O317" s="31">
        <f>1331</f>
        <v>1331</v>
      </c>
      <c r="P317" s="32" t="s">
        <v>679</v>
      </c>
      <c r="Q317" s="31">
        <f>1347</f>
        <v>1347</v>
      </c>
      <c r="R317" s="32" t="s">
        <v>777</v>
      </c>
      <c r="S317" s="33">
        <f>1375.76</f>
        <v>1375.76</v>
      </c>
      <c r="T317" s="30">
        <f>29995</f>
        <v>29995</v>
      </c>
      <c r="U317" s="30" t="str">
        <f>"－"</f>
        <v>－</v>
      </c>
      <c r="V317" s="30">
        <f>41325270</f>
        <v>41325270</v>
      </c>
      <c r="W317" s="30" t="str">
        <f>"－"</f>
        <v>－</v>
      </c>
      <c r="X317" s="34">
        <f>21</f>
        <v>21</v>
      </c>
    </row>
    <row r="318" spans="1:24">
      <c r="A318" s="25" t="s">
        <v>1246</v>
      </c>
      <c r="B318" s="25" t="s">
        <v>687</v>
      </c>
      <c r="C318" s="25" t="s">
        <v>688</v>
      </c>
      <c r="D318" s="25" t="s">
        <v>689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2046</f>
        <v>2046</v>
      </c>
      <c r="L318" s="32" t="s">
        <v>1116</v>
      </c>
      <c r="M318" s="31">
        <f>2400</f>
        <v>2400</v>
      </c>
      <c r="N318" s="32" t="s">
        <v>759</v>
      </c>
      <c r="O318" s="31">
        <f>1985</f>
        <v>1985</v>
      </c>
      <c r="P318" s="32" t="s">
        <v>680</v>
      </c>
      <c r="Q318" s="31">
        <f>2145</f>
        <v>2145</v>
      </c>
      <c r="R318" s="32" t="s">
        <v>777</v>
      </c>
      <c r="S318" s="33">
        <f>2063.81</f>
        <v>2063.81</v>
      </c>
      <c r="T318" s="30">
        <f>253951</f>
        <v>253951</v>
      </c>
      <c r="U318" s="30" t="str">
        <f>"－"</f>
        <v>－</v>
      </c>
      <c r="V318" s="30">
        <f>536100358</f>
        <v>536100358</v>
      </c>
      <c r="W318" s="30" t="str">
        <f>"－"</f>
        <v>－</v>
      </c>
      <c r="X318" s="34">
        <f>21</f>
        <v>21</v>
      </c>
    </row>
    <row r="319" spans="1:24">
      <c r="A319" s="25" t="s">
        <v>1246</v>
      </c>
      <c r="B319" s="25" t="s">
        <v>690</v>
      </c>
      <c r="C319" s="25" t="s">
        <v>691</v>
      </c>
      <c r="D319" s="25" t="s">
        <v>692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2727</f>
        <v>2727</v>
      </c>
      <c r="L319" s="32" t="s">
        <v>1116</v>
      </c>
      <c r="M319" s="31">
        <f>2990</f>
        <v>2990</v>
      </c>
      <c r="N319" s="32" t="s">
        <v>759</v>
      </c>
      <c r="O319" s="31">
        <f>2700</f>
        <v>2700</v>
      </c>
      <c r="P319" s="32" t="s">
        <v>675</v>
      </c>
      <c r="Q319" s="31">
        <f>2902</f>
        <v>2902</v>
      </c>
      <c r="R319" s="32" t="s">
        <v>777</v>
      </c>
      <c r="S319" s="33">
        <f>2822.48</f>
        <v>2822.48</v>
      </c>
      <c r="T319" s="30">
        <f>19742</f>
        <v>19742</v>
      </c>
      <c r="U319" s="30">
        <f>2</f>
        <v>2</v>
      </c>
      <c r="V319" s="30">
        <f>56712902</f>
        <v>56712902</v>
      </c>
      <c r="W319" s="30">
        <f>5804</f>
        <v>5804</v>
      </c>
      <c r="X319" s="34">
        <f>21</f>
        <v>21</v>
      </c>
    </row>
    <row r="320" spans="1:24">
      <c r="A320" s="25" t="s">
        <v>1246</v>
      </c>
      <c r="B320" s="25" t="s">
        <v>693</v>
      </c>
      <c r="C320" s="25" t="s">
        <v>694</v>
      </c>
      <c r="D320" s="25" t="s">
        <v>695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13485</f>
        <v>13485</v>
      </c>
      <c r="L320" s="32" t="s">
        <v>1116</v>
      </c>
      <c r="M320" s="31">
        <f>13730</f>
        <v>13730</v>
      </c>
      <c r="N320" s="32" t="s">
        <v>674</v>
      </c>
      <c r="O320" s="31">
        <f>12955</f>
        <v>12955</v>
      </c>
      <c r="P320" s="32" t="s">
        <v>1118</v>
      </c>
      <c r="Q320" s="31">
        <f>13215</f>
        <v>13215</v>
      </c>
      <c r="R320" s="32" t="s">
        <v>777</v>
      </c>
      <c r="S320" s="33">
        <f>13405.71</f>
        <v>13405.71</v>
      </c>
      <c r="T320" s="30">
        <f>250385</f>
        <v>250385</v>
      </c>
      <c r="U320" s="30">
        <f>42180</f>
        <v>42180</v>
      </c>
      <c r="V320" s="30">
        <f>3315612330</f>
        <v>3315612330</v>
      </c>
      <c r="W320" s="30">
        <f>552072510</f>
        <v>552072510</v>
      </c>
      <c r="X320" s="34">
        <f>21</f>
        <v>21</v>
      </c>
    </row>
    <row r="321" spans="1:24">
      <c r="A321" s="25" t="s">
        <v>1246</v>
      </c>
      <c r="B321" s="25" t="s">
        <v>696</v>
      </c>
      <c r="C321" s="25" t="s">
        <v>697</v>
      </c>
      <c r="D321" s="25" t="s">
        <v>698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22500</f>
        <v>22500</v>
      </c>
      <c r="L321" s="32" t="s">
        <v>1116</v>
      </c>
      <c r="M321" s="31">
        <f>24655</f>
        <v>24655</v>
      </c>
      <c r="N321" s="32" t="s">
        <v>676</v>
      </c>
      <c r="O321" s="31">
        <f>22500</f>
        <v>22500</v>
      </c>
      <c r="P321" s="32" t="s">
        <v>1116</v>
      </c>
      <c r="Q321" s="31">
        <f>24285</f>
        <v>24285</v>
      </c>
      <c r="R321" s="32" t="s">
        <v>777</v>
      </c>
      <c r="S321" s="33">
        <f>23714.29</f>
        <v>23714.29</v>
      </c>
      <c r="T321" s="30">
        <f>438868</f>
        <v>438868</v>
      </c>
      <c r="U321" s="30">
        <f>290</f>
        <v>290</v>
      </c>
      <c r="V321" s="30">
        <f>10435172065</f>
        <v>10435172065</v>
      </c>
      <c r="W321" s="30">
        <f>6996370</f>
        <v>6996370</v>
      </c>
      <c r="X321" s="34">
        <f>21</f>
        <v>21</v>
      </c>
    </row>
    <row r="322" spans="1:24">
      <c r="A322" s="25" t="s">
        <v>1246</v>
      </c>
      <c r="B322" s="25" t="s">
        <v>699</v>
      </c>
      <c r="C322" s="25" t="s">
        <v>700</v>
      </c>
      <c r="D322" s="25" t="s">
        <v>701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13595</f>
        <v>13595</v>
      </c>
      <c r="L322" s="32" t="s">
        <v>1116</v>
      </c>
      <c r="M322" s="31">
        <f>14310</f>
        <v>14310</v>
      </c>
      <c r="N322" s="32" t="s">
        <v>682</v>
      </c>
      <c r="O322" s="31">
        <f>13525</f>
        <v>13525</v>
      </c>
      <c r="P322" s="32" t="s">
        <v>1118</v>
      </c>
      <c r="Q322" s="31">
        <f>13860</f>
        <v>13860</v>
      </c>
      <c r="R322" s="32" t="s">
        <v>777</v>
      </c>
      <c r="S322" s="33">
        <f>13930.71</f>
        <v>13930.71</v>
      </c>
      <c r="T322" s="30">
        <f>276735</f>
        <v>276735</v>
      </c>
      <c r="U322" s="30">
        <f>28008</f>
        <v>28008</v>
      </c>
      <c r="V322" s="30">
        <f>3855062345</f>
        <v>3855062345</v>
      </c>
      <c r="W322" s="30">
        <f>399422435</f>
        <v>399422435</v>
      </c>
      <c r="X322" s="34">
        <f>21</f>
        <v>21</v>
      </c>
    </row>
    <row r="323" spans="1:24">
      <c r="A323" s="25" t="s">
        <v>1246</v>
      </c>
      <c r="B323" s="25" t="s">
        <v>702</v>
      </c>
      <c r="C323" s="25" t="s">
        <v>703</v>
      </c>
      <c r="D323" s="25" t="s">
        <v>704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10</v>
      </c>
      <c r="K323" s="31">
        <f>417.4</f>
        <v>417.4</v>
      </c>
      <c r="L323" s="32" t="s">
        <v>1116</v>
      </c>
      <c r="M323" s="31">
        <f>441</f>
        <v>441</v>
      </c>
      <c r="N323" s="32" t="s">
        <v>1111</v>
      </c>
      <c r="O323" s="31">
        <f>417.4</f>
        <v>417.4</v>
      </c>
      <c r="P323" s="32" t="s">
        <v>1116</v>
      </c>
      <c r="Q323" s="31">
        <f>435.5</f>
        <v>435.5</v>
      </c>
      <c r="R323" s="32" t="s">
        <v>777</v>
      </c>
      <c r="S323" s="33">
        <f>427.35</f>
        <v>427.35</v>
      </c>
      <c r="T323" s="30">
        <f>7500530</f>
        <v>7500530</v>
      </c>
      <c r="U323" s="30">
        <f>3145350</f>
        <v>3145350</v>
      </c>
      <c r="V323" s="30">
        <f>3200927940</f>
        <v>3200927940</v>
      </c>
      <c r="W323" s="30">
        <f>1328544038</f>
        <v>1328544038</v>
      </c>
      <c r="X323" s="34">
        <f>21</f>
        <v>21</v>
      </c>
    </row>
    <row r="324" spans="1:24">
      <c r="A324" s="25" t="s">
        <v>1246</v>
      </c>
      <c r="B324" s="25" t="s">
        <v>705</v>
      </c>
      <c r="C324" s="25" t="s">
        <v>706</v>
      </c>
      <c r="D324" s="25" t="s">
        <v>707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2653.5</f>
        <v>2653.5</v>
      </c>
      <c r="L324" s="32" t="s">
        <v>1116</v>
      </c>
      <c r="M324" s="31">
        <f>2699.5</f>
        <v>2699.5</v>
      </c>
      <c r="N324" s="32" t="s">
        <v>876</v>
      </c>
      <c r="O324" s="31">
        <f>2562.5</f>
        <v>2562.5</v>
      </c>
      <c r="P324" s="32" t="s">
        <v>1118</v>
      </c>
      <c r="Q324" s="31">
        <f>2616</f>
        <v>2616</v>
      </c>
      <c r="R324" s="32" t="s">
        <v>777</v>
      </c>
      <c r="S324" s="33">
        <f>2648.12</f>
        <v>2648.12</v>
      </c>
      <c r="T324" s="30">
        <f>1428280</f>
        <v>1428280</v>
      </c>
      <c r="U324" s="30">
        <f>752820</f>
        <v>752820</v>
      </c>
      <c r="V324" s="30">
        <f>3776450485</f>
        <v>3776450485</v>
      </c>
      <c r="W324" s="30">
        <f>1992807895</f>
        <v>1992807895</v>
      </c>
      <c r="X324" s="34">
        <f>21</f>
        <v>21</v>
      </c>
    </row>
    <row r="325" spans="1:24">
      <c r="A325" s="25" t="s">
        <v>1246</v>
      </c>
      <c r="B325" s="25" t="s">
        <v>708</v>
      </c>
      <c r="C325" s="25" t="s">
        <v>709</v>
      </c>
      <c r="D325" s="25" t="s">
        <v>710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4303</f>
        <v>4303</v>
      </c>
      <c r="L325" s="32" t="s">
        <v>1116</v>
      </c>
      <c r="M325" s="31">
        <f>4530</f>
        <v>4530</v>
      </c>
      <c r="N325" s="32" t="s">
        <v>1111</v>
      </c>
      <c r="O325" s="31">
        <f>4303</f>
        <v>4303</v>
      </c>
      <c r="P325" s="32" t="s">
        <v>1116</v>
      </c>
      <c r="Q325" s="31">
        <f>4470</f>
        <v>4470</v>
      </c>
      <c r="R325" s="32" t="s">
        <v>777</v>
      </c>
      <c r="S325" s="33">
        <f>4396.14</f>
        <v>4396.1400000000003</v>
      </c>
      <c r="T325" s="30">
        <f>115200</f>
        <v>115200</v>
      </c>
      <c r="U325" s="30">
        <f>20</f>
        <v>20</v>
      </c>
      <c r="V325" s="30">
        <f>502959950</f>
        <v>502959950</v>
      </c>
      <c r="W325" s="30">
        <f>89400</f>
        <v>89400</v>
      </c>
      <c r="X325" s="34">
        <f>21</f>
        <v>21</v>
      </c>
    </row>
    <row r="326" spans="1:24">
      <c r="A326" s="25" t="s">
        <v>1246</v>
      </c>
      <c r="B326" s="25" t="s">
        <v>711</v>
      </c>
      <c r="C326" s="25" t="s">
        <v>712</v>
      </c>
      <c r="D326" s="25" t="s">
        <v>713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</v>
      </c>
      <c r="K326" s="31">
        <f>3280</f>
        <v>3280</v>
      </c>
      <c r="L326" s="32" t="s">
        <v>1116</v>
      </c>
      <c r="M326" s="31">
        <f>3465</f>
        <v>3465</v>
      </c>
      <c r="N326" s="32" t="s">
        <v>777</v>
      </c>
      <c r="O326" s="31">
        <f>3265</f>
        <v>3265</v>
      </c>
      <c r="P326" s="32" t="s">
        <v>1116</v>
      </c>
      <c r="Q326" s="31">
        <f>3415</f>
        <v>3415</v>
      </c>
      <c r="R326" s="32" t="s">
        <v>777</v>
      </c>
      <c r="S326" s="33">
        <f>3361.19</f>
        <v>3361.19</v>
      </c>
      <c r="T326" s="30">
        <f>15419</f>
        <v>15419</v>
      </c>
      <c r="U326" s="30">
        <f>500</f>
        <v>500</v>
      </c>
      <c r="V326" s="30">
        <f>51892135</f>
        <v>51892135</v>
      </c>
      <c r="W326" s="30">
        <f>1690000</f>
        <v>1690000</v>
      </c>
      <c r="X326" s="34">
        <f>21</f>
        <v>21</v>
      </c>
    </row>
    <row r="327" spans="1:24">
      <c r="A327" s="25" t="s">
        <v>1246</v>
      </c>
      <c r="B327" s="25" t="s">
        <v>714</v>
      </c>
      <c r="C327" s="25" t="s">
        <v>1035</v>
      </c>
      <c r="D327" s="25" t="s">
        <v>1034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1478</f>
        <v>1478</v>
      </c>
      <c r="L327" s="32" t="s">
        <v>1116</v>
      </c>
      <c r="M327" s="31">
        <f>1525</f>
        <v>1525</v>
      </c>
      <c r="N327" s="32" t="s">
        <v>777</v>
      </c>
      <c r="O327" s="31">
        <f>1435</f>
        <v>1435</v>
      </c>
      <c r="P327" s="32" t="s">
        <v>680</v>
      </c>
      <c r="Q327" s="31">
        <f>1488</f>
        <v>1488</v>
      </c>
      <c r="R327" s="32" t="s">
        <v>777</v>
      </c>
      <c r="S327" s="33">
        <f>1468.81</f>
        <v>1468.81</v>
      </c>
      <c r="T327" s="30">
        <f>15387</f>
        <v>15387</v>
      </c>
      <c r="U327" s="30" t="str">
        <f>"－"</f>
        <v>－</v>
      </c>
      <c r="V327" s="30">
        <f>22794799</f>
        <v>22794799</v>
      </c>
      <c r="W327" s="30" t="str">
        <f>"－"</f>
        <v>－</v>
      </c>
      <c r="X327" s="34">
        <f>21</f>
        <v>21</v>
      </c>
    </row>
    <row r="328" spans="1:24">
      <c r="A328" s="25" t="s">
        <v>1246</v>
      </c>
      <c r="B328" s="25" t="s">
        <v>715</v>
      </c>
      <c r="C328" s="25" t="s">
        <v>716</v>
      </c>
      <c r="D328" s="25" t="s">
        <v>717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1950</f>
        <v>1950</v>
      </c>
      <c r="L328" s="32" t="s">
        <v>1116</v>
      </c>
      <c r="M328" s="31">
        <f>2134</f>
        <v>2134</v>
      </c>
      <c r="N328" s="32" t="s">
        <v>777</v>
      </c>
      <c r="O328" s="31">
        <f>1929</f>
        <v>1929</v>
      </c>
      <c r="P328" s="32" t="s">
        <v>1116</v>
      </c>
      <c r="Q328" s="31">
        <f>2087</f>
        <v>2087</v>
      </c>
      <c r="R328" s="32" t="s">
        <v>777</v>
      </c>
      <c r="S328" s="33">
        <f>2044.33</f>
        <v>2044.33</v>
      </c>
      <c r="T328" s="30">
        <f>177496</f>
        <v>177496</v>
      </c>
      <c r="U328" s="30">
        <f>2</f>
        <v>2</v>
      </c>
      <c r="V328" s="30">
        <f>364618721</f>
        <v>364618721</v>
      </c>
      <c r="W328" s="30">
        <f>4174</f>
        <v>4174</v>
      </c>
      <c r="X328" s="34">
        <f>21</f>
        <v>21</v>
      </c>
    </row>
    <row r="329" spans="1:24">
      <c r="A329" s="25" t="s">
        <v>1246</v>
      </c>
      <c r="B329" s="25" t="s">
        <v>718</v>
      </c>
      <c r="C329" s="25" t="s">
        <v>719</v>
      </c>
      <c r="D329" s="25" t="s">
        <v>720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1719</f>
        <v>1719</v>
      </c>
      <c r="L329" s="32" t="s">
        <v>1116</v>
      </c>
      <c r="M329" s="31">
        <f>1752</f>
        <v>1752</v>
      </c>
      <c r="N329" s="32" t="s">
        <v>1145</v>
      </c>
      <c r="O329" s="31">
        <f>1674</f>
        <v>1674</v>
      </c>
      <c r="P329" s="32" t="s">
        <v>680</v>
      </c>
      <c r="Q329" s="31">
        <f>1698</f>
        <v>1698</v>
      </c>
      <c r="R329" s="32" t="s">
        <v>777</v>
      </c>
      <c r="S329" s="33">
        <f>1707.33</f>
        <v>1707.33</v>
      </c>
      <c r="T329" s="30">
        <f>13170</f>
        <v>13170</v>
      </c>
      <c r="U329" s="30" t="str">
        <f>"－"</f>
        <v>－</v>
      </c>
      <c r="V329" s="30">
        <f>22568575</f>
        <v>22568575</v>
      </c>
      <c r="W329" s="30" t="str">
        <f>"－"</f>
        <v>－</v>
      </c>
      <c r="X329" s="34">
        <f>21</f>
        <v>21</v>
      </c>
    </row>
    <row r="330" spans="1:24">
      <c r="A330" s="25" t="s">
        <v>1246</v>
      </c>
      <c r="B330" s="25" t="s">
        <v>721</v>
      </c>
      <c r="C330" s="25" t="s">
        <v>722</v>
      </c>
      <c r="D330" s="25" t="s">
        <v>723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3445</f>
        <v>3445</v>
      </c>
      <c r="L330" s="32" t="s">
        <v>1116</v>
      </c>
      <c r="M330" s="31">
        <f>3710</f>
        <v>3710</v>
      </c>
      <c r="N330" s="32" t="s">
        <v>1123</v>
      </c>
      <c r="O330" s="31">
        <f>3380</f>
        <v>3380</v>
      </c>
      <c r="P330" s="32" t="s">
        <v>1116</v>
      </c>
      <c r="Q330" s="31">
        <f>3570</f>
        <v>3570</v>
      </c>
      <c r="R330" s="32" t="s">
        <v>777</v>
      </c>
      <c r="S330" s="33">
        <f>3546.19</f>
        <v>3546.19</v>
      </c>
      <c r="T330" s="30">
        <f>71302</f>
        <v>71302</v>
      </c>
      <c r="U330" s="30">
        <f>3</f>
        <v>3</v>
      </c>
      <c r="V330" s="30">
        <f>251294915</f>
        <v>251294915</v>
      </c>
      <c r="W330" s="30">
        <f>10360</f>
        <v>10360</v>
      </c>
      <c r="X330" s="34">
        <f>21</f>
        <v>21</v>
      </c>
    </row>
    <row r="331" spans="1:24">
      <c r="A331" s="25" t="s">
        <v>1246</v>
      </c>
      <c r="B331" s="25" t="s">
        <v>724</v>
      </c>
      <c r="C331" s="25" t="s">
        <v>1033</v>
      </c>
      <c r="D331" s="25" t="s">
        <v>1032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3090</f>
        <v>3090</v>
      </c>
      <c r="L331" s="32" t="s">
        <v>1116</v>
      </c>
      <c r="M331" s="31">
        <f>3330</f>
        <v>3330</v>
      </c>
      <c r="N331" s="32" t="s">
        <v>777</v>
      </c>
      <c r="O331" s="31">
        <f>3090</f>
        <v>3090</v>
      </c>
      <c r="P331" s="32" t="s">
        <v>1116</v>
      </c>
      <c r="Q331" s="31">
        <f>3290</f>
        <v>3290</v>
      </c>
      <c r="R331" s="32" t="s">
        <v>777</v>
      </c>
      <c r="S331" s="33">
        <f>3224.76</f>
        <v>3224.76</v>
      </c>
      <c r="T331" s="30">
        <f>1676054</f>
        <v>1676054</v>
      </c>
      <c r="U331" s="30">
        <f>1219754</f>
        <v>1219754</v>
      </c>
      <c r="V331" s="30">
        <f>5384645273</f>
        <v>5384645273</v>
      </c>
      <c r="W331" s="30">
        <f>3905224413</f>
        <v>3905224413</v>
      </c>
      <c r="X331" s="34">
        <f>21</f>
        <v>21</v>
      </c>
    </row>
    <row r="332" spans="1:24">
      <c r="A332" s="25" t="s">
        <v>1246</v>
      </c>
      <c r="B332" s="25" t="s">
        <v>725</v>
      </c>
      <c r="C332" s="25" t="s">
        <v>726</v>
      </c>
      <c r="D332" s="25" t="s">
        <v>727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36100</f>
        <v>36100</v>
      </c>
      <c r="L332" s="32" t="s">
        <v>1116</v>
      </c>
      <c r="M332" s="31">
        <f>37420</f>
        <v>37420</v>
      </c>
      <c r="N332" s="32" t="s">
        <v>1111</v>
      </c>
      <c r="O332" s="31">
        <f>36050</f>
        <v>36050</v>
      </c>
      <c r="P332" s="32" t="s">
        <v>1118</v>
      </c>
      <c r="Q332" s="31">
        <f>37240</f>
        <v>37240</v>
      </c>
      <c r="R332" s="32" t="s">
        <v>777</v>
      </c>
      <c r="S332" s="33">
        <f>36573.33</f>
        <v>36573.33</v>
      </c>
      <c r="T332" s="30">
        <f>18</f>
        <v>18</v>
      </c>
      <c r="U332" s="30" t="str">
        <f>"－"</f>
        <v>－</v>
      </c>
      <c r="V332" s="30">
        <f>658350</f>
        <v>658350</v>
      </c>
      <c r="W332" s="30" t="str">
        <f>"－"</f>
        <v>－</v>
      </c>
      <c r="X332" s="34">
        <f>12</f>
        <v>12</v>
      </c>
    </row>
    <row r="333" spans="1:24">
      <c r="A333" s="25" t="s">
        <v>1246</v>
      </c>
      <c r="B333" s="25" t="s">
        <v>728</v>
      </c>
      <c r="C333" s="25" t="s">
        <v>729</v>
      </c>
      <c r="D333" s="25" t="s">
        <v>730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2859</f>
        <v>2859</v>
      </c>
      <c r="L333" s="32" t="s">
        <v>1116</v>
      </c>
      <c r="M333" s="31">
        <f>2996</f>
        <v>2996</v>
      </c>
      <c r="N333" s="32" t="s">
        <v>1111</v>
      </c>
      <c r="O333" s="31">
        <f>2829</f>
        <v>2829</v>
      </c>
      <c r="P333" s="32" t="s">
        <v>1116</v>
      </c>
      <c r="Q333" s="31">
        <f>2976</f>
        <v>2976</v>
      </c>
      <c r="R333" s="32" t="s">
        <v>777</v>
      </c>
      <c r="S333" s="33">
        <f>2907.76</f>
        <v>2907.76</v>
      </c>
      <c r="T333" s="30">
        <f>5769</f>
        <v>5769</v>
      </c>
      <c r="U333" s="30">
        <f>1</f>
        <v>1</v>
      </c>
      <c r="V333" s="30">
        <f>16729335</f>
        <v>16729335</v>
      </c>
      <c r="W333" s="30">
        <f>2976</f>
        <v>2976</v>
      </c>
      <c r="X333" s="34">
        <f>21</f>
        <v>21</v>
      </c>
    </row>
    <row r="334" spans="1:24">
      <c r="A334" s="25" t="s">
        <v>1246</v>
      </c>
      <c r="B334" s="25" t="s">
        <v>731</v>
      </c>
      <c r="C334" s="25" t="s">
        <v>732</v>
      </c>
      <c r="D334" s="25" t="s">
        <v>733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1720</f>
        <v>1720</v>
      </c>
      <c r="L334" s="32" t="s">
        <v>1116</v>
      </c>
      <c r="M334" s="31">
        <f>1807</f>
        <v>1807</v>
      </c>
      <c r="N334" s="32" t="s">
        <v>675</v>
      </c>
      <c r="O334" s="31">
        <f>1683</f>
        <v>1683</v>
      </c>
      <c r="P334" s="32" t="s">
        <v>680</v>
      </c>
      <c r="Q334" s="31">
        <f>1767</f>
        <v>1767</v>
      </c>
      <c r="R334" s="32" t="s">
        <v>777</v>
      </c>
      <c r="S334" s="33">
        <f>1744.76</f>
        <v>1744.76</v>
      </c>
      <c r="T334" s="30">
        <f>9517946</f>
        <v>9517946</v>
      </c>
      <c r="U334" s="30">
        <f>1226799</f>
        <v>1226799</v>
      </c>
      <c r="V334" s="30">
        <f>16653714148</f>
        <v>16653714148</v>
      </c>
      <c r="W334" s="30">
        <f>2157216968</f>
        <v>2157216968</v>
      </c>
      <c r="X334" s="34">
        <f>21</f>
        <v>21</v>
      </c>
    </row>
    <row r="335" spans="1:24">
      <c r="A335" s="25" t="s">
        <v>1246</v>
      </c>
      <c r="B335" s="25" t="s">
        <v>734</v>
      </c>
      <c r="C335" s="25" t="s">
        <v>735</v>
      </c>
      <c r="D335" s="25" t="s">
        <v>736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2387</f>
        <v>2387</v>
      </c>
      <c r="L335" s="32" t="s">
        <v>1116</v>
      </c>
      <c r="M335" s="31">
        <f>2552</f>
        <v>2552</v>
      </c>
      <c r="N335" s="32" t="s">
        <v>760</v>
      </c>
      <c r="O335" s="31">
        <f>2375</f>
        <v>2375</v>
      </c>
      <c r="P335" s="32" t="s">
        <v>1116</v>
      </c>
      <c r="Q335" s="31">
        <f>2428</f>
        <v>2428</v>
      </c>
      <c r="R335" s="32" t="s">
        <v>777</v>
      </c>
      <c r="S335" s="33">
        <f>2455.75</f>
        <v>2455.75</v>
      </c>
      <c r="T335" s="30">
        <f>8597</f>
        <v>8597</v>
      </c>
      <c r="U335" s="30" t="str">
        <f>"－"</f>
        <v>－</v>
      </c>
      <c r="V335" s="30">
        <f>21150927</f>
        <v>21150927</v>
      </c>
      <c r="W335" s="30" t="str">
        <f>"－"</f>
        <v>－</v>
      </c>
      <c r="X335" s="34">
        <f>20</f>
        <v>20</v>
      </c>
    </row>
    <row r="336" spans="1:24">
      <c r="A336" s="25" t="s">
        <v>1246</v>
      </c>
      <c r="B336" s="25" t="s">
        <v>737</v>
      </c>
      <c r="C336" s="25" t="s">
        <v>738</v>
      </c>
      <c r="D336" s="25" t="s">
        <v>739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1594</f>
        <v>1594</v>
      </c>
      <c r="L336" s="32" t="s">
        <v>1116</v>
      </c>
      <c r="M336" s="31">
        <f>1641</f>
        <v>1641</v>
      </c>
      <c r="N336" s="32" t="s">
        <v>684</v>
      </c>
      <c r="O336" s="31">
        <f>1540</f>
        <v>1540</v>
      </c>
      <c r="P336" s="32" t="s">
        <v>680</v>
      </c>
      <c r="Q336" s="31">
        <f>1626</f>
        <v>1626</v>
      </c>
      <c r="R336" s="32" t="s">
        <v>777</v>
      </c>
      <c r="S336" s="33">
        <f>1590.86</f>
        <v>1590.86</v>
      </c>
      <c r="T336" s="30">
        <f>26525</f>
        <v>26525</v>
      </c>
      <c r="U336" s="30">
        <f>1</f>
        <v>1</v>
      </c>
      <c r="V336" s="30">
        <f>41812242</f>
        <v>41812242</v>
      </c>
      <c r="W336" s="30">
        <f>1626</f>
        <v>1626</v>
      </c>
      <c r="X336" s="34">
        <f>21</f>
        <v>21</v>
      </c>
    </row>
    <row r="337" spans="1:24">
      <c r="A337" s="25" t="s">
        <v>1246</v>
      </c>
      <c r="B337" s="25" t="s">
        <v>740</v>
      </c>
      <c r="C337" s="25" t="s">
        <v>741</v>
      </c>
      <c r="D337" s="25" t="s">
        <v>742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10</v>
      </c>
      <c r="K337" s="31">
        <f>5650</f>
        <v>5650</v>
      </c>
      <c r="L337" s="32" t="s">
        <v>1116</v>
      </c>
      <c r="M337" s="31">
        <f>5768</f>
        <v>5768</v>
      </c>
      <c r="N337" s="32" t="s">
        <v>1111</v>
      </c>
      <c r="O337" s="31">
        <f>5605</f>
        <v>5605</v>
      </c>
      <c r="P337" s="32" t="s">
        <v>675</v>
      </c>
      <c r="Q337" s="31">
        <f>5741</f>
        <v>5741</v>
      </c>
      <c r="R337" s="32" t="s">
        <v>777</v>
      </c>
      <c r="S337" s="33">
        <f>5688.88</f>
        <v>5688.88</v>
      </c>
      <c r="T337" s="30">
        <f>399030</f>
        <v>399030</v>
      </c>
      <c r="U337" s="30">
        <f>385000</f>
        <v>385000</v>
      </c>
      <c r="V337" s="30">
        <f>2296745714</f>
        <v>2296745714</v>
      </c>
      <c r="W337" s="30">
        <f>2216818894</f>
        <v>2216818894</v>
      </c>
      <c r="X337" s="34">
        <f>17</f>
        <v>17</v>
      </c>
    </row>
    <row r="338" spans="1:24">
      <c r="A338" s="25" t="s">
        <v>1246</v>
      </c>
      <c r="B338" s="25" t="s">
        <v>743</v>
      </c>
      <c r="C338" s="25" t="s">
        <v>744</v>
      </c>
      <c r="D338" s="25" t="s">
        <v>745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3657</f>
        <v>3657</v>
      </c>
      <c r="L338" s="32" t="s">
        <v>1116</v>
      </c>
      <c r="M338" s="31">
        <f>3663</f>
        <v>3663</v>
      </c>
      <c r="N338" s="32" t="s">
        <v>1145</v>
      </c>
      <c r="O338" s="31">
        <f>3520</f>
        <v>3520</v>
      </c>
      <c r="P338" s="32" t="s">
        <v>777</v>
      </c>
      <c r="Q338" s="31">
        <f>3524</f>
        <v>3524</v>
      </c>
      <c r="R338" s="32" t="s">
        <v>777</v>
      </c>
      <c r="S338" s="33">
        <f>3590.62</f>
        <v>3590.62</v>
      </c>
      <c r="T338" s="30">
        <f>1169020</f>
        <v>1169020</v>
      </c>
      <c r="U338" s="30">
        <f>1031320</f>
        <v>1031320</v>
      </c>
      <c r="V338" s="30">
        <f>4180286813</f>
        <v>4180286813</v>
      </c>
      <c r="W338" s="30">
        <f>3691276543</f>
        <v>3691276543</v>
      </c>
      <c r="X338" s="34">
        <f>21</f>
        <v>21</v>
      </c>
    </row>
    <row r="339" spans="1:24">
      <c r="A339" s="25" t="s">
        <v>1246</v>
      </c>
      <c r="B339" s="25" t="s">
        <v>746</v>
      </c>
      <c r="C339" s="25" t="s">
        <v>747</v>
      </c>
      <c r="D339" s="25" t="s">
        <v>748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619</f>
        <v>619</v>
      </c>
      <c r="L339" s="32" t="s">
        <v>1116</v>
      </c>
      <c r="M339" s="31">
        <f>622.8</f>
        <v>622.79999999999995</v>
      </c>
      <c r="N339" s="32" t="s">
        <v>876</v>
      </c>
      <c r="O339" s="31">
        <f>605</f>
        <v>605</v>
      </c>
      <c r="P339" s="32" t="s">
        <v>777</v>
      </c>
      <c r="Q339" s="31">
        <f>605</f>
        <v>605</v>
      </c>
      <c r="R339" s="32" t="s">
        <v>777</v>
      </c>
      <c r="S339" s="33">
        <f>613.27</f>
        <v>613.27</v>
      </c>
      <c r="T339" s="30">
        <f>4043520</f>
        <v>4043520</v>
      </c>
      <c r="U339" s="30">
        <f>4012510</f>
        <v>4012510</v>
      </c>
      <c r="V339" s="30">
        <f>2458939960</f>
        <v>2458939960</v>
      </c>
      <c r="W339" s="30">
        <f>2440007300</f>
        <v>2440007300</v>
      </c>
      <c r="X339" s="34">
        <f>20</f>
        <v>20</v>
      </c>
    </row>
    <row r="340" spans="1:24">
      <c r="A340" s="25" t="s">
        <v>1246</v>
      </c>
      <c r="B340" s="25" t="s">
        <v>1236</v>
      </c>
      <c r="C340" s="25" t="s">
        <v>1235</v>
      </c>
      <c r="D340" s="25" t="s">
        <v>1234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9513</f>
        <v>9513</v>
      </c>
      <c r="L340" s="32" t="s">
        <v>1116</v>
      </c>
      <c r="M340" s="31">
        <f>10300</f>
        <v>10300</v>
      </c>
      <c r="N340" s="32" t="s">
        <v>1111</v>
      </c>
      <c r="O340" s="31">
        <f>9450</f>
        <v>9450</v>
      </c>
      <c r="P340" s="32" t="s">
        <v>675</v>
      </c>
      <c r="Q340" s="31">
        <f>10075</f>
        <v>10075</v>
      </c>
      <c r="R340" s="32" t="s">
        <v>777</v>
      </c>
      <c r="S340" s="33">
        <f>9882.57</f>
        <v>9882.57</v>
      </c>
      <c r="T340" s="30">
        <f>39207</f>
        <v>39207</v>
      </c>
      <c r="U340" s="30" t="str">
        <f>"－"</f>
        <v>－</v>
      </c>
      <c r="V340" s="30">
        <f>391465689</f>
        <v>391465689</v>
      </c>
      <c r="W340" s="30" t="str">
        <f>"－"</f>
        <v>－</v>
      </c>
      <c r="X340" s="34">
        <f>21</f>
        <v>21</v>
      </c>
    </row>
    <row r="341" spans="1:24">
      <c r="A341" s="25" t="s">
        <v>1246</v>
      </c>
      <c r="B341" s="25" t="s">
        <v>1239</v>
      </c>
      <c r="C341" s="25" t="s">
        <v>1240</v>
      </c>
      <c r="D341" s="25" t="s">
        <v>1241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</v>
      </c>
      <c r="K341" s="31">
        <f>974</f>
        <v>974</v>
      </c>
      <c r="L341" s="32" t="s">
        <v>1116</v>
      </c>
      <c r="M341" s="31">
        <f>1029</f>
        <v>1029</v>
      </c>
      <c r="N341" s="32" t="s">
        <v>777</v>
      </c>
      <c r="O341" s="31">
        <f>950</f>
        <v>950</v>
      </c>
      <c r="P341" s="32" t="s">
        <v>680</v>
      </c>
      <c r="Q341" s="31">
        <f>1020</f>
        <v>1020</v>
      </c>
      <c r="R341" s="32" t="s">
        <v>777</v>
      </c>
      <c r="S341" s="33">
        <f>991.95</f>
        <v>991.95</v>
      </c>
      <c r="T341" s="30">
        <f>1230559</f>
        <v>1230559</v>
      </c>
      <c r="U341" s="30" t="str">
        <f>"－"</f>
        <v>－</v>
      </c>
      <c r="V341" s="30">
        <f>1221321608</f>
        <v>1221321608</v>
      </c>
      <c r="W341" s="30" t="str">
        <f>"－"</f>
        <v>－</v>
      </c>
      <c r="X341" s="34">
        <f>21</f>
        <v>21</v>
      </c>
    </row>
    <row r="342" spans="1:24">
      <c r="A342" s="25" t="s">
        <v>1246</v>
      </c>
      <c r="B342" s="25" t="s">
        <v>749</v>
      </c>
      <c r="C342" s="25" t="s">
        <v>750</v>
      </c>
      <c r="D342" s="25" t="s">
        <v>751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</v>
      </c>
      <c r="K342" s="31">
        <f>2685</f>
        <v>2685</v>
      </c>
      <c r="L342" s="32" t="s">
        <v>1116</v>
      </c>
      <c r="M342" s="31">
        <f>2850</f>
        <v>2850</v>
      </c>
      <c r="N342" s="32" t="s">
        <v>677</v>
      </c>
      <c r="O342" s="31">
        <f>2673</f>
        <v>2673</v>
      </c>
      <c r="P342" s="32" t="s">
        <v>1116</v>
      </c>
      <c r="Q342" s="31">
        <f>2728</f>
        <v>2728</v>
      </c>
      <c r="R342" s="32" t="s">
        <v>777</v>
      </c>
      <c r="S342" s="33">
        <f>2770.33</f>
        <v>2770.33</v>
      </c>
      <c r="T342" s="30">
        <f>35387</f>
        <v>35387</v>
      </c>
      <c r="U342" s="30">
        <f>1</f>
        <v>1</v>
      </c>
      <c r="V342" s="30">
        <f>98662077</f>
        <v>98662077</v>
      </c>
      <c r="W342" s="30">
        <f>2728</f>
        <v>2728</v>
      </c>
      <c r="X342" s="34">
        <f>21</f>
        <v>21</v>
      </c>
    </row>
    <row r="343" spans="1:24">
      <c r="A343" s="25" t="s">
        <v>1246</v>
      </c>
      <c r="B343" s="25" t="s">
        <v>752</v>
      </c>
      <c r="C343" s="25" t="s">
        <v>1031</v>
      </c>
      <c r="D343" s="25" t="s">
        <v>1030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2273</f>
        <v>2273</v>
      </c>
      <c r="L343" s="32" t="s">
        <v>1116</v>
      </c>
      <c r="M343" s="31">
        <f>2386</f>
        <v>2386</v>
      </c>
      <c r="N343" s="32" t="s">
        <v>675</v>
      </c>
      <c r="O343" s="31">
        <f>2220</f>
        <v>2220</v>
      </c>
      <c r="P343" s="32" t="s">
        <v>680</v>
      </c>
      <c r="Q343" s="31">
        <f>2267</f>
        <v>2267</v>
      </c>
      <c r="R343" s="32" t="s">
        <v>777</v>
      </c>
      <c r="S343" s="33">
        <f>2263.52</f>
        <v>2263.52</v>
      </c>
      <c r="T343" s="30">
        <f>48498</f>
        <v>48498</v>
      </c>
      <c r="U343" s="30">
        <f>200</f>
        <v>200</v>
      </c>
      <c r="V343" s="30">
        <f>110137461</f>
        <v>110137461</v>
      </c>
      <c r="W343" s="30">
        <f>457984</f>
        <v>457984</v>
      </c>
      <c r="X343" s="34">
        <f>21</f>
        <v>21</v>
      </c>
    </row>
    <row r="344" spans="1:24">
      <c r="A344" s="25" t="s">
        <v>1246</v>
      </c>
      <c r="B344" s="25" t="s">
        <v>753</v>
      </c>
      <c r="C344" s="25" t="s">
        <v>754</v>
      </c>
      <c r="D344" s="25" t="s">
        <v>755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8250</f>
        <v>8250</v>
      </c>
      <c r="L344" s="32" t="s">
        <v>1116</v>
      </c>
      <c r="M344" s="31">
        <f>8610</f>
        <v>8610</v>
      </c>
      <c r="N344" s="32" t="s">
        <v>1111</v>
      </c>
      <c r="O344" s="31">
        <f>8250</f>
        <v>8250</v>
      </c>
      <c r="P344" s="32" t="s">
        <v>1116</v>
      </c>
      <c r="Q344" s="31">
        <f>8584</f>
        <v>8584</v>
      </c>
      <c r="R344" s="32" t="s">
        <v>777</v>
      </c>
      <c r="S344" s="33">
        <f>8490.58</f>
        <v>8490.58</v>
      </c>
      <c r="T344" s="30">
        <f>264138</f>
        <v>264138</v>
      </c>
      <c r="U344" s="30">
        <f>240000</f>
        <v>240000</v>
      </c>
      <c r="V344" s="30">
        <f>2271534243</f>
        <v>2271534243</v>
      </c>
      <c r="W344" s="30">
        <f>2064464400</f>
        <v>2064464400</v>
      </c>
      <c r="X344" s="34">
        <f>19</f>
        <v>19</v>
      </c>
    </row>
    <row r="345" spans="1:24">
      <c r="A345" s="25" t="s">
        <v>1246</v>
      </c>
      <c r="B345" s="25" t="s">
        <v>756</v>
      </c>
      <c r="C345" s="25" t="s">
        <v>757</v>
      </c>
      <c r="D345" s="25" t="s">
        <v>758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5427</f>
        <v>5427</v>
      </c>
      <c r="L345" s="32" t="s">
        <v>1116</v>
      </c>
      <c r="M345" s="31">
        <f>5464</f>
        <v>5464</v>
      </c>
      <c r="N345" s="32" t="s">
        <v>876</v>
      </c>
      <c r="O345" s="31">
        <f>5263</f>
        <v>5263</v>
      </c>
      <c r="P345" s="32" t="s">
        <v>777</v>
      </c>
      <c r="Q345" s="31">
        <f>5274</f>
        <v>5274</v>
      </c>
      <c r="R345" s="32" t="s">
        <v>777</v>
      </c>
      <c r="S345" s="33">
        <f>5370.55</f>
        <v>5370.55</v>
      </c>
      <c r="T345" s="30">
        <f>6515</f>
        <v>6515</v>
      </c>
      <c r="U345" s="30">
        <f>3</f>
        <v>3</v>
      </c>
      <c r="V345" s="30">
        <f>34739022</f>
        <v>34739022</v>
      </c>
      <c r="W345" s="30">
        <f>15822</f>
        <v>15822</v>
      </c>
      <c r="X345" s="34">
        <f>20</f>
        <v>20</v>
      </c>
    </row>
    <row r="346" spans="1:24">
      <c r="A346" s="25" t="s">
        <v>1246</v>
      </c>
      <c r="B346" s="25" t="s">
        <v>1243</v>
      </c>
      <c r="C346" s="25" t="s">
        <v>1244</v>
      </c>
      <c r="D346" s="25" t="s">
        <v>1245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997</f>
        <v>997</v>
      </c>
      <c r="L346" s="32" t="s">
        <v>1116</v>
      </c>
      <c r="M346" s="31">
        <f>1045</f>
        <v>1045</v>
      </c>
      <c r="N346" s="32" t="s">
        <v>1111</v>
      </c>
      <c r="O346" s="31">
        <f>990</f>
        <v>990</v>
      </c>
      <c r="P346" s="32" t="s">
        <v>675</v>
      </c>
      <c r="Q346" s="31">
        <f>1035</f>
        <v>1035</v>
      </c>
      <c r="R346" s="32" t="s">
        <v>777</v>
      </c>
      <c r="S346" s="33">
        <f>1015.71</f>
        <v>1015.71</v>
      </c>
      <c r="T346" s="30">
        <f>225065</f>
        <v>225065</v>
      </c>
      <c r="U346" s="30">
        <f>50</f>
        <v>50</v>
      </c>
      <c r="V346" s="30">
        <f>228692016</f>
        <v>228692016</v>
      </c>
      <c r="W346" s="30">
        <f>50100</f>
        <v>50100</v>
      </c>
      <c r="X346" s="34">
        <f>21</f>
        <v>21</v>
      </c>
    </row>
    <row r="347" spans="1:24">
      <c r="A347" s="25" t="s">
        <v>1246</v>
      </c>
      <c r="B347" s="25" t="s">
        <v>762</v>
      </c>
      <c r="C347" s="25" t="s">
        <v>763</v>
      </c>
      <c r="D347" s="25" t="s">
        <v>764</v>
      </c>
      <c r="E347" s="26" t="s">
        <v>1076</v>
      </c>
      <c r="F347" s="27" t="s">
        <v>1077</v>
      </c>
      <c r="G347" s="28" t="s">
        <v>43</v>
      </c>
      <c r="H347" s="29"/>
      <c r="I347" s="29" t="s">
        <v>44</v>
      </c>
      <c r="J347" s="30">
        <v>1</v>
      </c>
      <c r="K347" s="31">
        <f>28955</f>
        <v>28955</v>
      </c>
      <c r="L347" s="32" t="s">
        <v>1116</v>
      </c>
      <c r="M347" s="31">
        <f>31480</f>
        <v>31480</v>
      </c>
      <c r="N347" s="32" t="s">
        <v>682</v>
      </c>
      <c r="O347" s="31">
        <f>28955</f>
        <v>28955</v>
      </c>
      <c r="P347" s="32" t="s">
        <v>1116</v>
      </c>
      <c r="Q347" s="31">
        <f>31430</f>
        <v>31430</v>
      </c>
      <c r="R347" s="32" t="s">
        <v>682</v>
      </c>
      <c r="S347" s="33">
        <f>30103.75</f>
        <v>30103.75</v>
      </c>
      <c r="T347" s="30">
        <f>85504</f>
        <v>85504</v>
      </c>
      <c r="U347" s="30">
        <f>17300</f>
        <v>17300</v>
      </c>
      <c r="V347" s="30">
        <f>2604592260</f>
        <v>2604592260</v>
      </c>
      <c r="W347" s="30">
        <f>544342770</f>
        <v>544342770</v>
      </c>
      <c r="X347" s="34">
        <f>12</f>
        <v>12</v>
      </c>
    </row>
    <row r="348" spans="1:24">
      <c r="A348" s="25" t="s">
        <v>1246</v>
      </c>
      <c r="B348" s="25" t="s">
        <v>762</v>
      </c>
      <c r="C348" s="25" t="s">
        <v>763</v>
      </c>
      <c r="D348" s="25" t="s">
        <v>764</v>
      </c>
      <c r="E348" s="26" t="s">
        <v>1076</v>
      </c>
      <c r="F348" s="27" t="s">
        <v>1077</v>
      </c>
      <c r="G348" s="28" t="s">
        <v>43</v>
      </c>
      <c r="H348" s="29"/>
      <c r="I348" s="29" t="s">
        <v>44</v>
      </c>
      <c r="J348" s="30">
        <v>1</v>
      </c>
      <c r="K348" s="31">
        <f>1963</f>
        <v>1963</v>
      </c>
      <c r="L348" s="32" t="s">
        <v>678</v>
      </c>
      <c r="M348" s="31">
        <f>1999</f>
        <v>1999</v>
      </c>
      <c r="N348" s="32" t="s">
        <v>676</v>
      </c>
      <c r="O348" s="31">
        <f>1890</f>
        <v>1890</v>
      </c>
      <c r="P348" s="32" t="s">
        <v>680</v>
      </c>
      <c r="Q348" s="31">
        <f>1955</f>
        <v>1955</v>
      </c>
      <c r="R348" s="32" t="s">
        <v>777</v>
      </c>
      <c r="S348" s="33">
        <f>1948.33</f>
        <v>1948.33</v>
      </c>
      <c r="T348" s="30">
        <f>2107559</f>
        <v>2107559</v>
      </c>
      <c r="U348" s="30">
        <f>174</f>
        <v>174</v>
      </c>
      <c r="V348" s="30">
        <f>4130512206</f>
        <v>4130512206</v>
      </c>
      <c r="W348" s="30">
        <f>330156</f>
        <v>330156</v>
      </c>
      <c r="X348" s="34">
        <f>9</f>
        <v>9</v>
      </c>
    </row>
    <row r="349" spans="1:24">
      <c r="A349" s="25" t="s">
        <v>1246</v>
      </c>
      <c r="B349" s="25" t="s">
        <v>765</v>
      </c>
      <c r="C349" s="25" t="s">
        <v>766</v>
      </c>
      <c r="D349" s="25" t="s">
        <v>767</v>
      </c>
      <c r="E349" s="26" t="s">
        <v>1076</v>
      </c>
      <c r="F349" s="27" t="s">
        <v>1077</v>
      </c>
      <c r="G349" s="28" t="s">
        <v>43</v>
      </c>
      <c r="H349" s="29"/>
      <c r="I349" s="29" t="s">
        <v>44</v>
      </c>
      <c r="J349" s="30">
        <v>1</v>
      </c>
      <c r="K349" s="31">
        <f>12835</f>
        <v>12835</v>
      </c>
      <c r="L349" s="32" t="s">
        <v>1116</v>
      </c>
      <c r="M349" s="31">
        <f>13480</f>
        <v>13480</v>
      </c>
      <c r="N349" s="32" t="s">
        <v>682</v>
      </c>
      <c r="O349" s="31">
        <f>12735</f>
        <v>12735</v>
      </c>
      <c r="P349" s="32" t="s">
        <v>1116</v>
      </c>
      <c r="Q349" s="31">
        <f>13460</f>
        <v>13460</v>
      </c>
      <c r="R349" s="32" t="s">
        <v>682</v>
      </c>
      <c r="S349" s="33">
        <f>13086.25</f>
        <v>13086.25</v>
      </c>
      <c r="T349" s="30">
        <f>410601</f>
        <v>410601</v>
      </c>
      <c r="U349" s="30">
        <f>271401</f>
        <v>271401</v>
      </c>
      <c r="V349" s="30">
        <f>5423640654</f>
        <v>5423640654</v>
      </c>
      <c r="W349" s="30">
        <f>3591162354</f>
        <v>3591162354</v>
      </c>
      <c r="X349" s="34">
        <f>12</f>
        <v>12</v>
      </c>
    </row>
    <row r="350" spans="1:24">
      <c r="A350" s="25" t="s">
        <v>1246</v>
      </c>
      <c r="B350" s="25" t="s">
        <v>765</v>
      </c>
      <c r="C350" s="25" t="s">
        <v>766</v>
      </c>
      <c r="D350" s="25" t="s">
        <v>767</v>
      </c>
      <c r="E350" s="26" t="s">
        <v>1076</v>
      </c>
      <c r="F350" s="27" t="s">
        <v>1077</v>
      </c>
      <c r="G350" s="28" t="s">
        <v>43</v>
      </c>
      <c r="H350" s="29"/>
      <c r="I350" s="29" t="s">
        <v>44</v>
      </c>
      <c r="J350" s="30">
        <v>1</v>
      </c>
      <c r="K350" s="31">
        <f>1360</f>
        <v>1360</v>
      </c>
      <c r="L350" s="32" t="s">
        <v>678</v>
      </c>
      <c r="M350" s="31">
        <f>1384</f>
        <v>1384</v>
      </c>
      <c r="N350" s="32" t="s">
        <v>679</v>
      </c>
      <c r="O350" s="31">
        <f>1274</f>
        <v>1274</v>
      </c>
      <c r="P350" s="32" t="s">
        <v>1118</v>
      </c>
      <c r="Q350" s="31">
        <f>1309</f>
        <v>1309</v>
      </c>
      <c r="R350" s="32" t="s">
        <v>777</v>
      </c>
      <c r="S350" s="33">
        <f>1312.44</f>
        <v>1312.44</v>
      </c>
      <c r="T350" s="30">
        <f>2042011</f>
        <v>2042011</v>
      </c>
      <c r="U350" s="30">
        <f>480001</f>
        <v>480001</v>
      </c>
      <c r="V350" s="30">
        <f>2691686635</f>
        <v>2691686635</v>
      </c>
      <c r="W350" s="30">
        <f>623185309</f>
        <v>623185309</v>
      </c>
      <c r="X350" s="34">
        <f>9</f>
        <v>9</v>
      </c>
    </row>
    <row r="351" spans="1:24">
      <c r="A351" s="25" t="s">
        <v>1246</v>
      </c>
      <c r="B351" s="25" t="s">
        <v>768</v>
      </c>
      <c r="C351" s="25" t="s">
        <v>769</v>
      </c>
      <c r="D351" s="25" t="s">
        <v>770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</v>
      </c>
      <c r="K351" s="31">
        <f>17670</f>
        <v>17670</v>
      </c>
      <c r="L351" s="32" t="s">
        <v>1116</v>
      </c>
      <c r="M351" s="31">
        <f>17690</f>
        <v>17690</v>
      </c>
      <c r="N351" s="32" t="s">
        <v>1116</v>
      </c>
      <c r="O351" s="31">
        <f>16725</f>
        <v>16725</v>
      </c>
      <c r="P351" s="32" t="s">
        <v>682</v>
      </c>
      <c r="Q351" s="31">
        <f>17180</f>
        <v>17180</v>
      </c>
      <c r="R351" s="32" t="s">
        <v>777</v>
      </c>
      <c r="S351" s="33">
        <f>17180.71</f>
        <v>17180.71</v>
      </c>
      <c r="T351" s="30">
        <f>134942</f>
        <v>134942</v>
      </c>
      <c r="U351" s="30">
        <f>74416</f>
        <v>74416</v>
      </c>
      <c r="V351" s="30">
        <f>2332401815</f>
        <v>2332401815</v>
      </c>
      <c r="W351" s="30">
        <f>1286791790</f>
        <v>1286791790</v>
      </c>
      <c r="X351" s="34">
        <f>21</f>
        <v>21</v>
      </c>
    </row>
    <row r="352" spans="1:24">
      <c r="A352" s="25" t="s">
        <v>1246</v>
      </c>
      <c r="B352" s="25" t="s">
        <v>771</v>
      </c>
      <c r="C352" s="25" t="s">
        <v>772</v>
      </c>
      <c r="D352" s="25" t="s">
        <v>773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4027</f>
        <v>4027</v>
      </c>
      <c r="L352" s="32" t="s">
        <v>1116</v>
      </c>
      <c r="M352" s="31">
        <f>4079</f>
        <v>4079</v>
      </c>
      <c r="N352" s="32" t="s">
        <v>674</v>
      </c>
      <c r="O352" s="31">
        <f>3996</f>
        <v>3996</v>
      </c>
      <c r="P352" s="32" t="s">
        <v>683</v>
      </c>
      <c r="Q352" s="31">
        <f>3998</f>
        <v>3998</v>
      </c>
      <c r="R352" s="32" t="s">
        <v>1111</v>
      </c>
      <c r="S352" s="33">
        <f>4024.75</f>
        <v>4024.75</v>
      </c>
      <c r="T352" s="30">
        <f>722410</f>
        <v>722410</v>
      </c>
      <c r="U352" s="30">
        <f>621420</f>
        <v>621420</v>
      </c>
      <c r="V352" s="30">
        <f>2877449362</f>
        <v>2877449362</v>
      </c>
      <c r="W352" s="30">
        <f>2471661422</f>
        <v>2471661422</v>
      </c>
      <c r="X352" s="34">
        <f>12</f>
        <v>12</v>
      </c>
    </row>
    <row r="353" spans="1:24">
      <c r="A353" s="25" t="s">
        <v>1246</v>
      </c>
      <c r="B353" s="25" t="s">
        <v>774</v>
      </c>
      <c r="C353" s="25" t="s">
        <v>775</v>
      </c>
      <c r="D353" s="25" t="s">
        <v>776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5075</f>
        <v>5075</v>
      </c>
      <c r="L353" s="32" t="s">
        <v>1116</v>
      </c>
      <c r="M353" s="31">
        <f>5320</f>
        <v>5320</v>
      </c>
      <c r="N353" s="32" t="s">
        <v>680</v>
      </c>
      <c r="O353" s="31">
        <f>4987</f>
        <v>4987</v>
      </c>
      <c r="P353" s="32" t="s">
        <v>680</v>
      </c>
      <c r="Q353" s="31">
        <f>5092</f>
        <v>5092</v>
      </c>
      <c r="R353" s="32" t="s">
        <v>777</v>
      </c>
      <c r="S353" s="33">
        <f>5070.19</f>
        <v>5070.1899999999996</v>
      </c>
      <c r="T353" s="30">
        <f>27360</f>
        <v>27360</v>
      </c>
      <c r="U353" s="30">
        <f>5940</f>
        <v>5940</v>
      </c>
      <c r="V353" s="30">
        <f>138380976</f>
        <v>138380976</v>
      </c>
      <c r="W353" s="30">
        <f>29951846</f>
        <v>29951846</v>
      </c>
      <c r="X353" s="34">
        <f>21</f>
        <v>21</v>
      </c>
    </row>
    <row r="354" spans="1:24">
      <c r="A354" s="25" t="s">
        <v>1246</v>
      </c>
      <c r="B354" s="25" t="s">
        <v>786</v>
      </c>
      <c r="C354" s="25" t="s">
        <v>787</v>
      </c>
      <c r="D354" s="25" t="s">
        <v>788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10</v>
      </c>
      <c r="K354" s="31">
        <f>2668.5</f>
        <v>2668.5</v>
      </c>
      <c r="L354" s="32" t="s">
        <v>1116</v>
      </c>
      <c r="M354" s="31">
        <f>2822.5</f>
        <v>2822.5</v>
      </c>
      <c r="N354" s="32" t="s">
        <v>682</v>
      </c>
      <c r="O354" s="31">
        <f>2666.5</f>
        <v>2666.5</v>
      </c>
      <c r="P354" s="32" t="s">
        <v>1116</v>
      </c>
      <c r="Q354" s="31">
        <f>2738</f>
        <v>2738</v>
      </c>
      <c r="R354" s="32" t="s">
        <v>777</v>
      </c>
      <c r="S354" s="33">
        <f>2747.83</f>
        <v>2747.83</v>
      </c>
      <c r="T354" s="30">
        <f>2008210</f>
        <v>2008210</v>
      </c>
      <c r="U354" s="30">
        <f>378250</f>
        <v>378250</v>
      </c>
      <c r="V354" s="30">
        <f>5497421310</f>
        <v>5497421310</v>
      </c>
      <c r="W354" s="30">
        <f>1024141980</f>
        <v>1024141980</v>
      </c>
      <c r="X354" s="34">
        <f>21</f>
        <v>21</v>
      </c>
    </row>
    <row r="355" spans="1:24">
      <c r="A355" s="25" t="s">
        <v>1246</v>
      </c>
      <c r="B355" s="25" t="s">
        <v>789</v>
      </c>
      <c r="C355" s="25" t="s">
        <v>790</v>
      </c>
      <c r="D355" s="25" t="s">
        <v>791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10</v>
      </c>
      <c r="K355" s="31">
        <f>2313.5</f>
        <v>2313.5</v>
      </c>
      <c r="L355" s="32" t="s">
        <v>1116</v>
      </c>
      <c r="M355" s="31">
        <f>2319.5</f>
        <v>2319.5</v>
      </c>
      <c r="N355" s="32" t="s">
        <v>674</v>
      </c>
      <c r="O355" s="31">
        <f>2163.5</f>
        <v>2163.5</v>
      </c>
      <c r="P355" s="32" t="s">
        <v>1118</v>
      </c>
      <c r="Q355" s="31">
        <f>2201.5</f>
        <v>2201.5</v>
      </c>
      <c r="R355" s="32" t="s">
        <v>777</v>
      </c>
      <c r="S355" s="33">
        <f>2253.36</f>
        <v>2253.36</v>
      </c>
      <c r="T355" s="30">
        <f>2943430</f>
        <v>2943430</v>
      </c>
      <c r="U355" s="30">
        <f>2270540</f>
        <v>2270540</v>
      </c>
      <c r="V355" s="30">
        <f>6657939330</f>
        <v>6657939330</v>
      </c>
      <c r="W355" s="30">
        <f>5168834845</f>
        <v>5168834845</v>
      </c>
      <c r="X355" s="34">
        <f>21</f>
        <v>21</v>
      </c>
    </row>
    <row r="356" spans="1:24">
      <c r="A356" s="25" t="s">
        <v>1246</v>
      </c>
      <c r="B356" s="25" t="s">
        <v>792</v>
      </c>
      <c r="C356" s="25" t="s">
        <v>793</v>
      </c>
      <c r="D356" s="25" t="s">
        <v>794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1872</f>
        <v>1872</v>
      </c>
      <c r="L356" s="32" t="s">
        <v>1116</v>
      </c>
      <c r="M356" s="31">
        <f>1928</f>
        <v>1928</v>
      </c>
      <c r="N356" s="32" t="s">
        <v>777</v>
      </c>
      <c r="O356" s="31">
        <f>1830</f>
        <v>1830</v>
      </c>
      <c r="P356" s="32" t="s">
        <v>683</v>
      </c>
      <c r="Q356" s="31">
        <f>1912</f>
        <v>1912</v>
      </c>
      <c r="R356" s="32" t="s">
        <v>777</v>
      </c>
      <c r="S356" s="33">
        <f>1881.38</f>
        <v>1881.38</v>
      </c>
      <c r="T356" s="30">
        <f>43466</f>
        <v>43466</v>
      </c>
      <c r="U356" s="30" t="str">
        <f>"－"</f>
        <v>－</v>
      </c>
      <c r="V356" s="30">
        <f>81515997</f>
        <v>81515997</v>
      </c>
      <c r="W356" s="30" t="str">
        <f>"－"</f>
        <v>－</v>
      </c>
      <c r="X356" s="34">
        <f>21</f>
        <v>21</v>
      </c>
    </row>
    <row r="357" spans="1:24">
      <c r="A357" s="25" t="s">
        <v>1246</v>
      </c>
      <c r="B357" s="25" t="s">
        <v>795</v>
      </c>
      <c r="C357" s="25" t="s">
        <v>796</v>
      </c>
      <c r="D357" s="25" t="s">
        <v>797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</v>
      </c>
      <c r="K357" s="31">
        <f>2050</f>
        <v>2050</v>
      </c>
      <c r="L357" s="32" t="s">
        <v>1116</v>
      </c>
      <c r="M357" s="31">
        <f>2141</f>
        <v>2141</v>
      </c>
      <c r="N357" s="32" t="s">
        <v>677</v>
      </c>
      <c r="O357" s="31">
        <f>2050</f>
        <v>2050</v>
      </c>
      <c r="P357" s="32" t="s">
        <v>1116</v>
      </c>
      <c r="Q357" s="31">
        <f>2118</f>
        <v>2118</v>
      </c>
      <c r="R357" s="32" t="s">
        <v>1111</v>
      </c>
      <c r="S357" s="33">
        <f>2095.15</f>
        <v>2095.15</v>
      </c>
      <c r="T357" s="30">
        <f>35407</f>
        <v>35407</v>
      </c>
      <c r="U357" s="30">
        <f>2</f>
        <v>2</v>
      </c>
      <c r="V357" s="30">
        <f>74314036</f>
        <v>74314036</v>
      </c>
      <c r="W357" s="30">
        <f>4236</f>
        <v>4236</v>
      </c>
      <c r="X357" s="34">
        <f>20</f>
        <v>20</v>
      </c>
    </row>
    <row r="358" spans="1:24">
      <c r="A358" s="25" t="s">
        <v>1246</v>
      </c>
      <c r="B358" s="25" t="s">
        <v>798</v>
      </c>
      <c r="C358" s="25" t="s">
        <v>799</v>
      </c>
      <c r="D358" s="25" t="s">
        <v>800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</v>
      </c>
      <c r="K358" s="31">
        <f>4330</f>
        <v>4330</v>
      </c>
      <c r="L358" s="32" t="s">
        <v>1116</v>
      </c>
      <c r="M358" s="31">
        <f>4450</f>
        <v>4450</v>
      </c>
      <c r="N358" s="32" t="s">
        <v>1123</v>
      </c>
      <c r="O358" s="31">
        <f>4300</f>
        <v>4300</v>
      </c>
      <c r="P358" s="32" t="s">
        <v>680</v>
      </c>
      <c r="Q358" s="31">
        <f>4410</f>
        <v>4410</v>
      </c>
      <c r="R358" s="32" t="s">
        <v>777</v>
      </c>
      <c r="S358" s="33">
        <f>4371.19</f>
        <v>4371.1899999999996</v>
      </c>
      <c r="T358" s="30">
        <f>120054</f>
        <v>120054</v>
      </c>
      <c r="U358" s="30">
        <f>110020</f>
        <v>110020</v>
      </c>
      <c r="V358" s="30">
        <f>520255387</f>
        <v>520255387</v>
      </c>
      <c r="W358" s="30">
        <f>476440302</f>
        <v>476440302</v>
      </c>
      <c r="X358" s="34">
        <f>21</f>
        <v>21</v>
      </c>
    </row>
    <row r="359" spans="1:24">
      <c r="A359" s="25" t="s">
        <v>1246</v>
      </c>
      <c r="B359" s="25" t="s">
        <v>801</v>
      </c>
      <c r="C359" s="25" t="s">
        <v>802</v>
      </c>
      <c r="D359" s="25" t="s">
        <v>803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10</v>
      </c>
      <c r="K359" s="31">
        <f>2772.5</f>
        <v>2772.5</v>
      </c>
      <c r="L359" s="32" t="s">
        <v>1116</v>
      </c>
      <c r="M359" s="31">
        <f>2879.5</f>
        <v>2879.5</v>
      </c>
      <c r="N359" s="32" t="s">
        <v>777</v>
      </c>
      <c r="O359" s="31">
        <f>2722.5</f>
        <v>2722.5</v>
      </c>
      <c r="P359" s="32" t="s">
        <v>1145</v>
      </c>
      <c r="Q359" s="31">
        <f>2876.5</f>
        <v>2876.5</v>
      </c>
      <c r="R359" s="32" t="s">
        <v>777</v>
      </c>
      <c r="S359" s="33">
        <f>2811.25</f>
        <v>2811.25</v>
      </c>
      <c r="T359" s="30">
        <f>6400</f>
        <v>6400</v>
      </c>
      <c r="U359" s="30">
        <f>20</f>
        <v>20</v>
      </c>
      <c r="V359" s="30">
        <f>17987855</f>
        <v>17987855</v>
      </c>
      <c r="W359" s="30">
        <f>57530</f>
        <v>57530</v>
      </c>
      <c r="X359" s="34">
        <f>8</f>
        <v>8</v>
      </c>
    </row>
    <row r="360" spans="1:24">
      <c r="A360" s="25" t="s">
        <v>1246</v>
      </c>
      <c r="B360" s="25" t="s">
        <v>812</v>
      </c>
      <c r="C360" s="25" t="s">
        <v>813</v>
      </c>
      <c r="D360" s="25" t="s">
        <v>814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10</v>
      </c>
      <c r="K360" s="31">
        <f>271.5</f>
        <v>271.5</v>
      </c>
      <c r="L360" s="32" t="s">
        <v>1116</v>
      </c>
      <c r="M360" s="31">
        <f>281.7</f>
        <v>281.7</v>
      </c>
      <c r="N360" s="32" t="s">
        <v>677</v>
      </c>
      <c r="O360" s="31">
        <f>269.7</f>
        <v>269.7</v>
      </c>
      <c r="P360" s="32" t="s">
        <v>680</v>
      </c>
      <c r="Q360" s="31">
        <f>278.8</f>
        <v>278.8</v>
      </c>
      <c r="R360" s="32" t="s">
        <v>777</v>
      </c>
      <c r="S360" s="33">
        <f>276.29</f>
        <v>276.29000000000002</v>
      </c>
      <c r="T360" s="30">
        <f>8940</f>
        <v>8940</v>
      </c>
      <c r="U360" s="30">
        <f>20</f>
        <v>20</v>
      </c>
      <c r="V360" s="30">
        <f>2465730</f>
        <v>2465730</v>
      </c>
      <c r="W360" s="30">
        <f>5576</f>
        <v>5576</v>
      </c>
      <c r="X360" s="34">
        <f>21</f>
        <v>21</v>
      </c>
    </row>
    <row r="361" spans="1:24">
      <c r="A361" s="25" t="s">
        <v>1246</v>
      </c>
      <c r="B361" s="25" t="s">
        <v>804</v>
      </c>
      <c r="C361" s="25" t="s">
        <v>805</v>
      </c>
      <c r="D361" s="25" t="s">
        <v>806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10</v>
      </c>
      <c r="K361" s="31">
        <f>164</f>
        <v>164</v>
      </c>
      <c r="L361" s="32" t="s">
        <v>1116</v>
      </c>
      <c r="M361" s="31">
        <f>165</f>
        <v>165</v>
      </c>
      <c r="N361" s="32" t="s">
        <v>777</v>
      </c>
      <c r="O361" s="31">
        <f>158.4</f>
        <v>158.4</v>
      </c>
      <c r="P361" s="32" t="s">
        <v>680</v>
      </c>
      <c r="Q361" s="31">
        <f>163.5</f>
        <v>163.5</v>
      </c>
      <c r="R361" s="32" t="s">
        <v>777</v>
      </c>
      <c r="S361" s="33">
        <f>161.1</f>
        <v>161.1</v>
      </c>
      <c r="T361" s="30">
        <f>207280</f>
        <v>207280</v>
      </c>
      <c r="U361" s="30">
        <f>28110</f>
        <v>28110</v>
      </c>
      <c r="V361" s="30">
        <f>33316874</f>
        <v>33316874</v>
      </c>
      <c r="W361" s="30">
        <f>4501816</f>
        <v>4501816</v>
      </c>
      <c r="X361" s="34">
        <f>21</f>
        <v>21</v>
      </c>
    </row>
    <row r="362" spans="1:24">
      <c r="A362" s="25" t="s">
        <v>1246</v>
      </c>
      <c r="B362" s="25" t="s">
        <v>807</v>
      </c>
      <c r="C362" s="25" t="s">
        <v>808</v>
      </c>
      <c r="D362" s="25" t="s">
        <v>809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10</v>
      </c>
      <c r="K362" s="31">
        <f>675.6</f>
        <v>675.6</v>
      </c>
      <c r="L362" s="32" t="s">
        <v>675</v>
      </c>
      <c r="M362" s="31">
        <f>720.6</f>
        <v>720.6</v>
      </c>
      <c r="N362" s="32" t="s">
        <v>674</v>
      </c>
      <c r="O362" s="31">
        <f>656.9</f>
        <v>656.9</v>
      </c>
      <c r="P362" s="32" t="s">
        <v>777</v>
      </c>
      <c r="Q362" s="31">
        <f>656.9</f>
        <v>656.9</v>
      </c>
      <c r="R362" s="32" t="s">
        <v>777</v>
      </c>
      <c r="S362" s="33">
        <f>665.24</f>
        <v>665.24</v>
      </c>
      <c r="T362" s="30">
        <f>38130</f>
        <v>38130</v>
      </c>
      <c r="U362" s="30">
        <f>34300</f>
        <v>34300</v>
      </c>
      <c r="V362" s="30">
        <f>25631999</f>
        <v>25631999</v>
      </c>
      <c r="W362" s="30">
        <f>23091789</f>
        <v>23091789</v>
      </c>
      <c r="X362" s="34">
        <f>8</f>
        <v>8</v>
      </c>
    </row>
    <row r="363" spans="1:24">
      <c r="A363" s="25" t="s">
        <v>1246</v>
      </c>
      <c r="B363" s="25" t="s">
        <v>815</v>
      </c>
      <c r="C363" s="25" t="s">
        <v>816</v>
      </c>
      <c r="D363" s="25" t="s">
        <v>817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1529</f>
        <v>1529</v>
      </c>
      <c r="L363" s="32" t="s">
        <v>1116</v>
      </c>
      <c r="M363" s="31">
        <f>1628</f>
        <v>1628</v>
      </c>
      <c r="N363" s="32" t="s">
        <v>1123</v>
      </c>
      <c r="O363" s="31">
        <f>1516</f>
        <v>1516</v>
      </c>
      <c r="P363" s="32" t="s">
        <v>1116</v>
      </c>
      <c r="Q363" s="31">
        <f>1599</f>
        <v>1599</v>
      </c>
      <c r="R363" s="32" t="s">
        <v>777</v>
      </c>
      <c r="S363" s="33">
        <f>1578.33</f>
        <v>1578.33</v>
      </c>
      <c r="T363" s="30">
        <f>197412</f>
        <v>197412</v>
      </c>
      <c r="U363" s="30">
        <f>16</f>
        <v>16</v>
      </c>
      <c r="V363" s="30">
        <f>312330995</f>
        <v>312330995</v>
      </c>
      <c r="W363" s="30">
        <f>25120</f>
        <v>25120</v>
      </c>
      <c r="X363" s="34">
        <f>21</f>
        <v>21</v>
      </c>
    </row>
    <row r="364" spans="1:24">
      <c r="A364" s="25" t="s">
        <v>1246</v>
      </c>
      <c r="B364" s="25" t="s">
        <v>818</v>
      </c>
      <c r="C364" s="25" t="s">
        <v>819</v>
      </c>
      <c r="D364" s="25" t="s">
        <v>820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</v>
      </c>
      <c r="K364" s="31">
        <f>872</f>
        <v>872</v>
      </c>
      <c r="L364" s="32" t="s">
        <v>1116</v>
      </c>
      <c r="M364" s="31">
        <f>872</f>
        <v>872</v>
      </c>
      <c r="N364" s="32" t="s">
        <v>1116</v>
      </c>
      <c r="O364" s="31">
        <f>840</f>
        <v>840</v>
      </c>
      <c r="P364" s="32" t="s">
        <v>680</v>
      </c>
      <c r="Q364" s="31">
        <f>859</f>
        <v>859</v>
      </c>
      <c r="R364" s="32" t="s">
        <v>777</v>
      </c>
      <c r="S364" s="33">
        <f>852.43</f>
        <v>852.43</v>
      </c>
      <c r="T364" s="30">
        <f>54756</f>
        <v>54756</v>
      </c>
      <c r="U364" s="30">
        <f>10103</f>
        <v>10103</v>
      </c>
      <c r="V364" s="30">
        <f>46860879</f>
        <v>46860879</v>
      </c>
      <c r="W364" s="30">
        <f>8593798</f>
        <v>8593798</v>
      </c>
      <c r="X364" s="34">
        <f>21</f>
        <v>21</v>
      </c>
    </row>
    <row r="365" spans="1:24">
      <c r="A365" s="25" t="s">
        <v>1246</v>
      </c>
      <c r="B365" s="25" t="s">
        <v>821</v>
      </c>
      <c r="C365" s="25" t="s">
        <v>822</v>
      </c>
      <c r="D365" s="25" t="s">
        <v>823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10</v>
      </c>
      <c r="K365" s="31">
        <f>701</f>
        <v>701</v>
      </c>
      <c r="L365" s="32" t="s">
        <v>1116</v>
      </c>
      <c r="M365" s="31">
        <f>701</f>
        <v>701</v>
      </c>
      <c r="N365" s="32" t="s">
        <v>1116</v>
      </c>
      <c r="O365" s="31">
        <f>656.6</f>
        <v>656.6</v>
      </c>
      <c r="P365" s="32" t="s">
        <v>680</v>
      </c>
      <c r="Q365" s="31">
        <f>681</f>
        <v>681</v>
      </c>
      <c r="R365" s="32" t="s">
        <v>777</v>
      </c>
      <c r="S365" s="33">
        <f>687.37</f>
        <v>687.37</v>
      </c>
      <c r="T365" s="30">
        <f>813540</f>
        <v>813540</v>
      </c>
      <c r="U365" s="30">
        <f>18130</f>
        <v>18130</v>
      </c>
      <c r="V365" s="30">
        <f>556925120</f>
        <v>556925120</v>
      </c>
      <c r="W365" s="30">
        <f>12467492</f>
        <v>12467492</v>
      </c>
      <c r="X365" s="34">
        <f>21</f>
        <v>21</v>
      </c>
    </row>
    <row r="366" spans="1:24">
      <c r="A366" s="25" t="s">
        <v>1246</v>
      </c>
      <c r="B366" s="25" t="s">
        <v>824</v>
      </c>
      <c r="C366" s="25" t="s">
        <v>825</v>
      </c>
      <c r="D366" s="25" t="s">
        <v>826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10</v>
      </c>
      <c r="K366" s="31">
        <f>700</f>
        <v>700</v>
      </c>
      <c r="L366" s="32" t="s">
        <v>1116</v>
      </c>
      <c r="M366" s="31">
        <f>700</f>
        <v>700</v>
      </c>
      <c r="N366" s="32" t="s">
        <v>1116</v>
      </c>
      <c r="O366" s="31">
        <f>679.5</f>
        <v>679.5</v>
      </c>
      <c r="P366" s="32" t="s">
        <v>676</v>
      </c>
      <c r="Q366" s="31">
        <f>680.4</f>
        <v>680.4</v>
      </c>
      <c r="R366" s="32" t="s">
        <v>777</v>
      </c>
      <c r="S366" s="33">
        <f>690.67</f>
        <v>690.67</v>
      </c>
      <c r="T366" s="30">
        <f>8216750</f>
        <v>8216750</v>
      </c>
      <c r="U366" s="30">
        <f>8110080</f>
        <v>8110080</v>
      </c>
      <c r="V366" s="30">
        <f>5632343145</f>
        <v>5632343145</v>
      </c>
      <c r="W366" s="30">
        <f>5559251337</f>
        <v>5559251337</v>
      </c>
      <c r="X366" s="34">
        <f>19</f>
        <v>19</v>
      </c>
    </row>
    <row r="367" spans="1:24">
      <c r="A367" s="25" t="s">
        <v>1246</v>
      </c>
      <c r="B367" s="25" t="s">
        <v>827</v>
      </c>
      <c r="C367" s="25" t="s">
        <v>828</v>
      </c>
      <c r="D367" s="25" t="s">
        <v>829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</v>
      </c>
      <c r="K367" s="31">
        <f>1158</f>
        <v>1158</v>
      </c>
      <c r="L367" s="32" t="s">
        <v>1116</v>
      </c>
      <c r="M367" s="31">
        <f>1250</f>
        <v>1250</v>
      </c>
      <c r="N367" s="32" t="s">
        <v>677</v>
      </c>
      <c r="O367" s="31">
        <f>1152</f>
        <v>1152</v>
      </c>
      <c r="P367" s="32" t="s">
        <v>1116</v>
      </c>
      <c r="Q367" s="31">
        <f>1213</f>
        <v>1213</v>
      </c>
      <c r="R367" s="32" t="s">
        <v>777</v>
      </c>
      <c r="S367" s="33">
        <f>1193.24</f>
        <v>1193.24</v>
      </c>
      <c r="T367" s="30">
        <f>38385</f>
        <v>38385</v>
      </c>
      <c r="U367" s="30">
        <f>2</f>
        <v>2</v>
      </c>
      <c r="V367" s="30">
        <f>45621126</f>
        <v>45621126</v>
      </c>
      <c r="W367" s="30">
        <f>2426</f>
        <v>2426</v>
      </c>
      <c r="X367" s="34">
        <f>21</f>
        <v>21</v>
      </c>
    </row>
    <row r="368" spans="1:24">
      <c r="A368" s="25" t="s">
        <v>1246</v>
      </c>
      <c r="B368" s="25" t="s">
        <v>836</v>
      </c>
      <c r="C368" s="25" t="s">
        <v>837</v>
      </c>
      <c r="D368" s="25" t="s">
        <v>838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10</v>
      </c>
      <c r="K368" s="31">
        <f>2494</f>
        <v>2494</v>
      </c>
      <c r="L368" s="32" t="s">
        <v>1116</v>
      </c>
      <c r="M368" s="31">
        <f>2594.5</f>
        <v>2594.5</v>
      </c>
      <c r="N368" s="32" t="s">
        <v>684</v>
      </c>
      <c r="O368" s="31">
        <f>2479.5</f>
        <v>2479.5</v>
      </c>
      <c r="P368" s="32" t="s">
        <v>1116</v>
      </c>
      <c r="Q368" s="31">
        <f>2550</f>
        <v>2550</v>
      </c>
      <c r="R368" s="32" t="s">
        <v>777</v>
      </c>
      <c r="S368" s="33">
        <f>2542.31</f>
        <v>2542.31</v>
      </c>
      <c r="T368" s="30">
        <f>88780</f>
        <v>88780</v>
      </c>
      <c r="U368" s="30" t="str">
        <f>"－"</f>
        <v>－</v>
      </c>
      <c r="V368" s="30">
        <f>225182795</f>
        <v>225182795</v>
      </c>
      <c r="W368" s="30" t="str">
        <f>"－"</f>
        <v>－</v>
      </c>
      <c r="X368" s="34">
        <f>21</f>
        <v>21</v>
      </c>
    </row>
    <row r="369" spans="1:24">
      <c r="A369" s="25" t="s">
        <v>1246</v>
      </c>
      <c r="B369" s="25" t="s">
        <v>839</v>
      </c>
      <c r="C369" s="25" t="s">
        <v>840</v>
      </c>
      <c r="D369" s="25" t="s">
        <v>841</v>
      </c>
      <c r="E369" s="26" t="s">
        <v>43</v>
      </c>
      <c r="F369" s="27" t="s">
        <v>43</v>
      </c>
      <c r="G369" s="28" t="s">
        <v>43</v>
      </c>
      <c r="H369" s="29"/>
      <c r="I369" s="29" t="s">
        <v>44</v>
      </c>
      <c r="J369" s="30">
        <v>10</v>
      </c>
      <c r="K369" s="31">
        <f>2662.5</f>
        <v>2662.5</v>
      </c>
      <c r="L369" s="32" t="s">
        <v>1116</v>
      </c>
      <c r="M369" s="31">
        <f>2809.5</f>
        <v>2809.5</v>
      </c>
      <c r="N369" s="32" t="s">
        <v>876</v>
      </c>
      <c r="O369" s="31">
        <f>2660</f>
        <v>2660</v>
      </c>
      <c r="P369" s="32" t="s">
        <v>1116</v>
      </c>
      <c r="Q369" s="31">
        <f>2709</f>
        <v>2709</v>
      </c>
      <c r="R369" s="32" t="s">
        <v>777</v>
      </c>
      <c r="S369" s="33">
        <f>2728.02</f>
        <v>2728.02</v>
      </c>
      <c r="T369" s="30">
        <f>21050</f>
        <v>21050</v>
      </c>
      <c r="U369" s="30">
        <f>20</f>
        <v>20</v>
      </c>
      <c r="V369" s="30">
        <f>57795010</f>
        <v>57795010</v>
      </c>
      <c r="W369" s="30">
        <f>54285</f>
        <v>54285</v>
      </c>
      <c r="X369" s="34">
        <f>21</f>
        <v>21</v>
      </c>
    </row>
    <row r="370" spans="1:24">
      <c r="A370" s="25" t="s">
        <v>1246</v>
      </c>
      <c r="B370" s="25" t="s">
        <v>830</v>
      </c>
      <c r="C370" s="25" t="s">
        <v>831</v>
      </c>
      <c r="D370" s="25" t="s">
        <v>832</v>
      </c>
      <c r="E370" s="26" t="s">
        <v>43</v>
      </c>
      <c r="F370" s="27" t="s">
        <v>43</v>
      </c>
      <c r="G370" s="28" t="s">
        <v>43</v>
      </c>
      <c r="H370" s="29"/>
      <c r="I370" s="29" t="s">
        <v>44</v>
      </c>
      <c r="J370" s="30">
        <v>10</v>
      </c>
      <c r="K370" s="31">
        <f>5266</f>
        <v>5266</v>
      </c>
      <c r="L370" s="32" t="s">
        <v>1116</v>
      </c>
      <c r="M370" s="31">
        <f>5431</f>
        <v>5431</v>
      </c>
      <c r="N370" s="32" t="s">
        <v>778</v>
      </c>
      <c r="O370" s="31">
        <f>5233</f>
        <v>5233</v>
      </c>
      <c r="P370" s="32" t="s">
        <v>675</v>
      </c>
      <c r="Q370" s="31">
        <f>5387</f>
        <v>5387</v>
      </c>
      <c r="R370" s="32" t="s">
        <v>1111</v>
      </c>
      <c r="S370" s="33">
        <f>5307.33</f>
        <v>5307.33</v>
      </c>
      <c r="T370" s="30">
        <f>64650</f>
        <v>64650</v>
      </c>
      <c r="U370" s="30" t="str">
        <f>"－"</f>
        <v>－</v>
      </c>
      <c r="V370" s="30">
        <f>340918530</f>
        <v>340918530</v>
      </c>
      <c r="W370" s="30" t="str">
        <f>"－"</f>
        <v>－</v>
      </c>
      <c r="X370" s="34">
        <f>9</f>
        <v>9</v>
      </c>
    </row>
    <row r="371" spans="1:24">
      <c r="A371" s="25" t="s">
        <v>1246</v>
      </c>
      <c r="B371" s="25" t="s">
        <v>833</v>
      </c>
      <c r="C371" s="25" t="s">
        <v>834</v>
      </c>
      <c r="D371" s="25" t="s">
        <v>835</v>
      </c>
      <c r="E371" s="26" t="s">
        <v>43</v>
      </c>
      <c r="F371" s="27" t="s">
        <v>43</v>
      </c>
      <c r="G371" s="28" t="s">
        <v>43</v>
      </c>
      <c r="H371" s="29"/>
      <c r="I371" s="29" t="s">
        <v>44</v>
      </c>
      <c r="J371" s="30">
        <v>10</v>
      </c>
      <c r="K371" s="31">
        <f>4229</f>
        <v>4229</v>
      </c>
      <c r="L371" s="32" t="s">
        <v>1116</v>
      </c>
      <c r="M371" s="31">
        <f>4400</f>
        <v>4400</v>
      </c>
      <c r="N371" s="32" t="s">
        <v>677</v>
      </c>
      <c r="O371" s="31">
        <f>4135</f>
        <v>4135</v>
      </c>
      <c r="P371" s="32" t="s">
        <v>777</v>
      </c>
      <c r="Q371" s="31">
        <f>4135</f>
        <v>4135</v>
      </c>
      <c r="R371" s="32" t="s">
        <v>777</v>
      </c>
      <c r="S371" s="33">
        <f>4204</f>
        <v>4204</v>
      </c>
      <c r="T371" s="30">
        <f>54070</f>
        <v>54070</v>
      </c>
      <c r="U371" s="30">
        <f>10</f>
        <v>10</v>
      </c>
      <c r="V371" s="30">
        <f>226328920</f>
        <v>226328920</v>
      </c>
      <c r="W371" s="30">
        <f>41350</f>
        <v>41350</v>
      </c>
      <c r="X371" s="34">
        <f>4</f>
        <v>4</v>
      </c>
    </row>
    <row r="372" spans="1:24">
      <c r="A372" s="25" t="s">
        <v>1246</v>
      </c>
      <c r="B372" s="25" t="s">
        <v>842</v>
      </c>
      <c r="C372" s="25" t="s">
        <v>843</v>
      </c>
      <c r="D372" s="25" t="s">
        <v>844</v>
      </c>
      <c r="E372" s="26" t="s">
        <v>43</v>
      </c>
      <c r="F372" s="27" t="s">
        <v>43</v>
      </c>
      <c r="G372" s="28" t="s">
        <v>43</v>
      </c>
      <c r="H372" s="29"/>
      <c r="I372" s="29" t="s">
        <v>44</v>
      </c>
      <c r="J372" s="30">
        <v>10</v>
      </c>
      <c r="K372" s="31">
        <f>1932.5</f>
        <v>1932.5</v>
      </c>
      <c r="L372" s="32" t="s">
        <v>1145</v>
      </c>
      <c r="M372" s="31">
        <f>1939</f>
        <v>1939</v>
      </c>
      <c r="N372" s="32" t="s">
        <v>876</v>
      </c>
      <c r="O372" s="31">
        <f>1878.5</f>
        <v>1878.5</v>
      </c>
      <c r="P372" s="32" t="s">
        <v>778</v>
      </c>
      <c r="Q372" s="31">
        <f>1880.5</f>
        <v>1880.5</v>
      </c>
      <c r="R372" s="32" t="s">
        <v>676</v>
      </c>
      <c r="S372" s="33">
        <f>1909.89</f>
        <v>1909.89</v>
      </c>
      <c r="T372" s="30">
        <f>690</f>
        <v>690</v>
      </c>
      <c r="U372" s="30" t="str">
        <f>"－"</f>
        <v>－</v>
      </c>
      <c r="V372" s="30">
        <f>1320010</f>
        <v>1320010</v>
      </c>
      <c r="W372" s="30" t="str">
        <f>"－"</f>
        <v>－</v>
      </c>
      <c r="X372" s="34">
        <f>9</f>
        <v>9</v>
      </c>
    </row>
    <row r="373" spans="1:24">
      <c r="A373" s="25" t="s">
        <v>1246</v>
      </c>
      <c r="B373" s="25" t="s">
        <v>845</v>
      </c>
      <c r="C373" s="25" t="s">
        <v>846</v>
      </c>
      <c r="D373" s="25" t="s">
        <v>847</v>
      </c>
      <c r="E373" s="26" t="s">
        <v>43</v>
      </c>
      <c r="F373" s="27" t="s">
        <v>43</v>
      </c>
      <c r="G373" s="28" t="s">
        <v>43</v>
      </c>
      <c r="H373" s="29"/>
      <c r="I373" s="29" t="s">
        <v>44</v>
      </c>
      <c r="J373" s="30">
        <v>1</v>
      </c>
      <c r="K373" s="31">
        <f>1326</f>
        <v>1326</v>
      </c>
      <c r="L373" s="32" t="s">
        <v>1116</v>
      </c>
      <c r="M373" s="31">
        <f>1326</f>
        <v>1326</v>
      </c>
      <c r="N373" s="32" t="s">
        <v>1116</v>
      </c>
      <c r="O373" s="31">
        <f>1197</f>
        <v>1197</v>
      </c>
      <c r="P373" s="32" t="s">
        <v>679</v>
      </c>
      <c r="Q373" s="31">
        <f>1267</f>
        <v>1267</v>
      </c>
      <c r="R373" s="32" t="s">
        <v>777</v>
      </c>
      <c r="S373" s="33">
        <f>1281.57</f>
        <v>1281.57</v>
      </c>
      <c r="T373" s="30">
        <f>23518</f>
        <v>23518</v>
      </c>
      <c r="U373" s="30" t="str">
        <f>"－"</f>
        <v>－</v>
      </c>
      <c r="V373" s="30">
        <f>29640471</f>
        <v>29640471</v>
      </c>
      <c r="W373" s="30" t="str">
        <f>"－"</f>
        <v>－</v>
      </c>
      <c r="X373" s="34">
        <f>21</f>
        <v>21</v>
      </c>
    </row>
    <row r="374" spans="1:24">
      <c r="A374" s="25" t="s">
        <v>1246</v>
      </c>
      <c r="B374" s="25" t="s">
        <v>848</v>
      </c>
      <c r="C374" s="25" t="s">
        <v>849</v>
      </c>
      <c r="D374" s="25" t="s">
        <v>850</v>
      </c>
      <c r="E374" s="26" t="s">
        <v>43</v>
      </c>
      <c r="F374" s="27" t="s">
        <v>43</v>
      </c>
      <c r="G374" s="28" t="s">
        <v>43</v>
      </c>
      <c r="H374" s="29"/>
      <c r="I374" s="29" t="s">
        <v>44</v>
      </c>
      <c r="J374" s="30">
        <v>1</v>
      </c>
      <c r="K374" s="31">
        <f>1200</f>
        <v>1200</v>
      </c>
      <c r="L374" s="32" t="s">
        <v>1116</v>
      </c>
      <c r="M374" s="31">
        <f>1292</f>
        <v>1292</v>
      </c>
      <c r="N374" s="32" t="s">
        <v>1111</v>
      </c>
      <c r="O374" s="31">
        <f>1196</f>
        <v>1196</v>
      </c>
      <c r="P374" s="32" t="s">
        <v>876</v>
      </c>
      <c r="Q374" s="31">
        <f>1290</f>
        <v>1290</v>
      </c>
      <c r="R374" s="32" t="s">
        <v>777</v>
      </c>
      <c r="S374" s="33">
        <f>1236.05</f>
        <v>1236.05</v>
      </c>
      <c r="T374" s="30">
        <f>4513706</f>
        <v>4513706</v>
      </c>
      <c r="U374" s="30">
        <f>1032</f>
        <v>1032</v>
      </c>
      <c r="V374" s="30">
        <f>5581275282</f>
        <v>5581275282</v>
      </c>
      <c r="W374" s="30">
        <f>1265268</f>
        <v>1265268</v>
      </c>
      <c r="X374" s="34">
        <f>21</f>
        <v>21</v>
      </c>
    </row>
    <row r="375" spans="1:24">
      <c r="A375" s="25" t="s">
        <v>1246</v>
      </c>
      <c r="B375" s="25" t="s">
        <v>851</v>
      </c>
      <c r="C375" s="25" t="s">
        <v>852</v>
      </c>
      <c r="D375" s="25" t="s">
        <v>853</v>
      </c>
      <c r="E375" s="26" t="s">
        <v>43</v>
      </c>
      <c r="F375" s="27" t="s">
        <v>43</v>
      </c>
      <c r="G375" s="28" t="s">
        <v>43</v>
      </c>
      <c r="H375" s="29"/>
      <c r="I375" s="29" t="s">
        <v>44</v>
      </c>
      <c r="J375" s="30">
        <v>1</v>
      </c>
      <c r="K375" s="31">
        <f>1030</f>
        <v>1030</v>
      </c>
      <c r="L375" s="32" t="s">
        <v>1116</v>
      </c>
      <c r="M375" s="31">
        <f>1044</f>
        <v>1044</v>
      </c>
      <c r="N375" s="32" t="s">
        <v>679</v>
      </c>
      <c r="O375" s="31">
        <f>1019</f>
        <v>1019</v>
      </c>
      <c r="P375" s="32" t="s">
        <v>876</v>
      </c>
      <c r="Q375" s="31">
        <f>1036</f>
        <v>1036</v>
      </c>
      <c r="R375" s="32" t="s">
        <v>777</v>
      </c>
      <c r="S375" s="33">
        <f>1033.05</f>
        <v>1033.05</v>
      </c>
      <c r="T375" s="30">
        <f>751577</f>
        <v>751577</v>
      </c>
      <c r="U375" s="30">
        <f>25</f>
        <v>25</v>
      </c>
      <c r="V375" s="30">
        <f>775730835</f>
        <v>775730835</v>
      </c>
      <c r="W375" s="30">
        <f>25801</f>
        <v>25801</v>
      </c>
      <c r="X375" s="34">
        <f>21</f>
        <v>21</v>
      </c>
    </row>
    <row r="376" spans="1:24">
      <c r="A376" s="25" t="s">
        <v>1246</v>
      </c>
      <c r="B376" s="25" t="s">
        <v>858</v>
      </c>
      <c r="C376" s="25" t="s">
        <v>859</v>
      </c>
      <c r="D376" s="25" t="s">
        <v>860</v>
      </c>
      <c r="E376" s="26" t="s">
        <v>43</v>
      </c>
      <c r="F376" s="27" t="s">
        <v>43</v>
      </c>
      <c r="G376" s="28" t="s">
        <v>43</v>
      </c>
      <c r="H376" s="29"/>
      <c r="I376" s="29" t="s">
        <v>44</v>
      </c>
      <c r="J376" s="30">
        <v>1</v>
      </c>
      <c r="K376" s="31">
        <f>1130</f>
        <v>1130</v>
      </c>
      <c r="L376" s="32" t="s">
        <v>1116</v>
      </c>
      <c r="M376" s="31">
        <f>1190</f>
        <v>1190</v>
      </c>
      <c r="N376" s="32" t="s">
        <v>1111</v>
      </c>
      <c r="O376" s="31">
        <f>1083</f>
        <v>1083</v>
      </c>
      <c r="P376" s="32" t="s">
        <v>675</v>
      </c>
      <c r="Q376" s="31">
        <f>1173</f>
        <v>1173</v>
      </c>
      <c r="R376" s="32" t="s">
        <v>777</v>
      </c>
      <c r="S376" s="33">
        <f>1129.52</f>
        <v>1129.52</v>
      </c>
      <c r="T376" s="30">
        <f>15349</f>
        <v>15349</v>
      </c>
      <c r="U376" s="30" t="str">
        <f>"－"</f>
        <v>－</v>
      </c>
      <c r="V376" s="30">
        <f>17300374</f>
        <v>17300374</v>
      </c>
      <c r="W376" s="30" t="str">
        <f>"－"</f>
        <v>－</v>
      </c>
      <c r="X376" s="34">
        <f>21</f>
        <v>21</v>
      </c>
    </row>
    <row r="377" spans="1:24">
      <c r="A377" s="25" t="s">
        <v>1246</v>
      </c>
      <c r="B377" s="25" t="s">
        <v>861</v>
      </c>
      <c r="C377" s="25" t="s">
        <v>862</v>
      </c>
      <c r="D377" s="25" t="s">
        <v>863</v>
      </c>
      <c r="E377" s="26" t="s">
        <v>43</v>
      </c>
      <c r="F377" s="27" t="s">
        <v>43</v>
      </c>
      <c r="G377" s="28" t="s">
        <v>43</v>
      </c>
      <c r="H377" s="29"/>
      <c r="I377" s="29" t="s">
        <v>44</v>
      </c>
      <c r="J377" s="30">
        <v>1</v>
      </c>
      <c r="K377" s="31">
        <f>1092</f>
        <v>1092</v>
      </c>
      <c r="L377" s="32" t="s">
        <v>1116</v>
      </c>
      <c r="M377" s="31">
        <f>1177</f>
        <v>1177</v>
      </c>
      <c r="N377" s="32" t="s">
        <v>683</v>
      </c>
      <c r="O377" s="31">
        <f>1086</f>
        <v>1086</v>
      </c>
      <c r="P377" s="32" t="s">
        <v>876</v>
      </c>
      <c r="Q377" s="31">
        <f>1173</f>
        <v>1173</v>
      </c>
      <c r="R377" s="32" t="s">
        <v>777</v>
      </c>
      <c r="S377" s="33">
        <f>1124.29</f>
        <v>1124.29</v>
      </c>
      <c r="T377" s="30">
        <f>724512</f>
        <v>724512</v>
      </c>
      <c r="U377" s="30">
        <f>60</f>
        <v>60</v>
      </c>
      <c r="V377" s="30">
        <f>812176499</f>
        <v>812176499</v>
      </c>
      <c r="W377" s="30">
        <f>69752</f>
        <v>69752</v>
      </c>
      <c r="X377" s="34">
        <f>21</f>
        <v>21</v>
      </c>
    </row>
    <row r="378" spans="1:24">
      <c r="A378" s="25" t="s">
        <v>1246</v>
      </c>
      <c r="B378" s="25" t="s">
        <v>864</v>
      </c>
      <c r="C378" s="25" t="s">
        <v>865</v>
      </c>
      <c r="D378" s="25" t="s">
        <v>950</v>
      </c>
      <c r="E378" s="26" t="s">
        <v>43</v>
      </c>
      <c r="F378" s="27" t="s">
        <v>43</v>
      </c>
      <c r="G378" s="28" t="s">
        <v>43</v>
      </c>
      <c r="H378" s="29"/>
      <c r="I378" s="29" t="s">
        <v>44</v>
      </c>
      <c r="J378" s="30">
        <v>1</v>
      </c>
      <c r="K378" s="31">
        <f>46960</f>
        <v>46960</v>
      </c>
      <c r="L378" s="32" t="s">
        <v>1116</v>
      </c>
      <c r="M378" s="31">
        <f>52260</f>
        <v>52260</v>
      </c>
      <c r="N378" s="32" t="s">
        <v>682</v>
      </c>
      <c r="O378" s="31">
        <f>46600</f>
        <v>46600</v>
      </c>
      <c r="P378" s="32" t="s">
        <v>1118</v>
      </c>
      <c r="Q378" s="31">
        <f>48660</f>
        <v>48660</v>
      </c>
      <c r="R378" s="32" t="s">
        <v>777</v>
      </c>
      <c r="S378" s="33">
        <f>49488.1</f>
        <v>49488.1</v>
      </c>
      <c r="T378" s="30">
        <f>430227</f>
        <v>430227</v>
      </c>
      <c r="U378" s="30">
        <f>1185</f>
        <v>1185</v>
      </c>
      <c r="V378" s="30">
        <f>21235228295</f>
        <v>21235228295</v>
      </c>
      <c r="W378" s="30">
        <f>58353145</f>
        <v>58353145</v>
      </c>
      <c r="X378" s="34">
        <f>21</f>
        <v>21</v>
      </c>
    </row>
    <row r="379" spans="1:24">
      <c r="A379" s="25" t="s">
        <v>1246</v>
      </c>
      <c r="B379" s="25" t="s">
        <v>866</v>
      </c>
      <c r="C379" s="25" t="s">
        <v>867</v>
      </c>
      <c r="D379" s="25" t="s">
        <v>951</v>
      </c>
      <c r="E379" s="26" t="s">
        <v>43</v>
      </c>
      <c r="F379" s="27" t="s">
        <v>43</v>
      </c>
      <c r="G379" s="28" t="s">
        <v>43</v>
      </c>
      <c r="H379" s="29"/>
      <c r="I379" s="29" t="s">
        <v>44</v>
      </c>
      <c r="J379" s="30">
        <v>1</v>
      </c>
      <c r="K379" s="31">
        <f>17795</f>
        <v>17795</v>
      </c>
      <c r="L379" s="32" t="s">
        <v>1116</v>
      </c>
      <c r="M379" s="31">
        <f>17825</f>
        <v>17825</v>
      </c>
      <c r="N379" s="32" t="s">
        <v>1116</v>
      </c>
      <c r="O379" s="31">
        <f>15915</f>
        <v>15915</v>
      </c>
      <c r="P379" s="32" t="s">
        <v>682</v>
      </c>
      <c r="Q379" s="31">
        <f>17200</f>
        <v>17200</v>
      </c>
      <c r="R379" s="32" t="s">
        <v>777</v>
      </c>
      <c r="S379" s="33">
        <f>16869.76</f>
        <v>16869.759999999998</v>
      </c>
      <c r="T379" s="30">
        <f>416498</f>
        <v>416498</v>
      </c>
      <c r="U379" s="30">
        <f>155769</f>
        <v>155769</v>
      </c>
      <c r="V379" s="30">
        <f>6873413215</f>
        <v>6873413215</v>
      </c>
      <c r="W379" s="30">
        <f>2487878555</f>
        <v>2487878555</v>
      </c>
      <c r="X379" s="34">
        <f>21</f>
        <v>21</v>
      </c>
    </row>
    <row r="380" spans="1:24">
      <c r="A380" s="25" t="s">
        <v>1246</v>
      </c>
      <c r="B380" s="25" t="s">
        <v>1250</v>
      </c>
      <c r="C380" s="25" t="s">
        <v>1251</v>
      </c>
      <c r="D380" s="25" t="s">
        <v>1252</v>
      </c>
      <c r="E380" s="26" t="s">
        <v>672</v>
      </c>
      <c r="F380" s="27" t="s">
        <v>673</v>
      </c>
      <c r="G380" s="28" t="s">
        <v>1253</v>
      </c>
      <c r="H380" s="29"/>
      <c r="I380" s="29" t="s">
        <v>44</v>
      </c>
      <c r="J380" s="30">
        <v>1</v>
      </c>
      <c r="K380" s="31">
        <f>2220</f>
        <v>2220</v>
      </c>
      <c r="L380" s="32" t="s">
        <v>1145</v>
      </c>
      <c r="M380" s="31">
        <f>2220</f>
        <v>2220</v>
      </c>
      <c r="N380" s="32" t="s">
        <v>1145</v>
      </c>
      <c r="O380" s="31">
        <f>1992</f>
        <v>1992</v>
      </c>
      <c r="P380" s="32" t="s">
        <v>680</v>
      </c>
      <c r="Q380" s="31">
        <f>2077</f>
        <v>2077</v>
      </c>
      <c r="R380" s="32" t="s">
        <v>777</v>
      </c>
      <c r="S380" s="33">
        <f>2048.16</f>
        <v>2048.16</v>
      </c>
      <c r="T380" s="30">
        <f>6680</f>
        <v>6680</v>
      </c>
      <c r="U380" s="30">
        <f>2</f>
        <v>2</v>
      </c>
      <c r="V380" s="30">
        <f>13712625</f>
        <v>13712625</v>
      </c>
      <c r="W380" s="30">
        <f>4098</f>
        <v>4098</v>
      </c>
      <c r="X380" s="34">
        <f>19</f>
        <v>19</v>
      </c>
    </row>
    <row r="381" spans="1:24">
      <c r="A381" s="25" t="s">
        <v>1246</v>
      </c>
      <c r="B381" s="25" t="s">
        <v>1254</v>
      </c>
      <c r="C381" s="25" t="s">
        <v>1255</v>
      </c>
      <c r="D381" s="25" t="s">
        <v>1256</v>
      </c>
      <c r="E381" s="26" t="s">
        <v>672</v>
      </c>
      <c r="F381" s="27" t="s">
        <v>673</v>
      </c>
      <c r="G381" s="28" t="s">
        <v>1257</v>
      </c>
      <c r="H381" s="29"/>
      <c r="I381" s="29" t="s">
        <v>44</v>
      </c>
      <c r="J381" s="30">
        <v>1</v>
      </c>
      <c r="K381" s="31">
        <f>10365</f>
        <v>10365</v>
      </c>
      <c r="L381" s="32" t="s">
        <v>677</v>
      </c>
      <c r="M381" s="31">
        <f>10670</f>
        <v>10670</v>
      </c>
      <c r="N381" s="32" t="s">
        <v>1123</v>
      </c>
      <c r="O381" s="31">
        <f>10180</f>
        <v>10180</v>
      </c>
      <c r="P381" s="32" t="s">
        <v>680</v>
      </c>
      <c r="Q381" s="31">
        <f>10380</f>
        <v>10380</v>
      </c>
      <c r="R381" s="32" t="s">
        <v>777</v>
      </c>
      <c r="S381" s="33">
        <f>10347.5</f>
        <v>10347.5</v>
      </c>
      <c r="T381" s="30">
        <f>16668</f>
        <v>16668</v>
      </c>
      <c r="U381" s="30">
        <f>6</f>
        <v>6</v>
      </c>
      <c r="V381" s="30">
        <f>172574525</f>
        <v>172574525</v>
      </c>
      <c r="W381" s="30">
        <f>62105</f>
        <v>62105</v>
      </c>
      <c r="X381" s="34">
        <f>12</f>
        <v>12</v>
      </c>
    </row>
  </sheetData>
  <mergeCells count="3">
    <mergeCell ref="N1:X3"/>
    <mergeCell ref="A2:M2"/>
    <mergeCell ref="A3:M3"/>
  </mergeCells>
  <phoneticPr fontId="3"/>
  <conditionalFormatting sqref="A1">
    <cfRule type="duplicateValues" dxfId="4" priority="1"/>
  </conditionalFormatting>
  <printOptions horizontalCentered="1"/>
  <pageMargins left="0.39370078740157483" right="0.39370078740157483" top="0.39370078740157483" bottom="0.59055118110236227" header="0.27559055118110237" footer="0.27559055118110237"/>
  <pageSetup paperSize="9" scale="38" fitToHeight="0" orientation="landscape" r:id="rId1"/>
  <headerFooter>
    <oddFooter>&amp;C&amp;P/&amp;N&amp;RCopyright (c) Tokyo Stock Exchange,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AB96-729D-4B1B-9241-D6931C115924}">
  <sheetPr>
    <pageSetUpPr fitToPage="1"/>
  </sheetPr>
  <dimension ref="A1:X378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8.125" defaultRowHeight="18.75"/>
  <cols>
    <col min="1" max="1" width="11.75" style="3" bestFit="1" customWidth="1"/>
    <col min="2" max="2" width="9.75" style="3" bestFit="1" customWidth="1"/>
    <col min="3" max="4" width="24.875" style="3" customWidth="1"/>
    <col min="5" max="5" width="12.375" style="3" bestFit="1" customWidth="1"/>
    <col min="6" max="6" width="18.75" style="3" bestFit="1" customWidth="1"/>
    <col min="7" max="7" width="10.125" style="3" customWidth="1"/>
    <col min="8" max="8" width="7.875" style="3" bestFit="1" customWidth="1"/>
    <col min="9" max="9" width="10.625" style="3" bestFit="1" customWidth="1"/>
    <col min="10" max="10" width="11.375" style="3" bestFit="1" customWidth="1"/>
    <col min="11" max="11" width="14.625" style="3" customWidth="1"/>
    <col min="12" max="12" width="5.125" style="3" bestFit="1" customWidth="1"/>
    <col min="13" max="13" width="14.625" style="3" customWidth="1"/>
    <col min="14" max="14" width="5.125" style="3" bestFit="1" customWidth="1"/>
    <col min="15" max="15" width="14.625" style="3" customWidth="1"/>
    <col min="16" max="16" width="5.125" style="3" bestFit="1" customWidth="1"/>
    <col min="17" max="17" width="14.625" style="3" customWidth="1"/>
    <col min="18" max="18" width="5.125" style="3" bestFit="1" customWidth="1"/>
    <col min="19" max="19" width="21.5" style="3" bestFit="1" customWidth="1"/>
    <col min="20" max="20" width="14.625" style="3" customWidth="1"/>
    <col min="21" max="21" width="21.75" style="3" customWidth="1"/>
    <col min="22" max="22" width="17.875" style="3" bestFit="1" customWidth="1"/>
    <col min="23" max="23" width="22.5" style="3" bestFit="1" customWidth="1"/>
    <col min="24" max="24" width="11.75" style="3" bestFit="1" customWidth="1"/>
    <col min="25" max="16384" width="8.125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1237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2810.5</f>
        <v>2810.5</v>
      </c>
      <c r="L7" s="32" t="s">
        <v>1110</v>
      </c>
      <c r="M7" s="31">
        <f>2934</f>
        <v>2934</v>
      </c>
      <c r="N7" s="32" t="s">
        <v>677</v>
      </c>
      <c r="O7" s="31">
        <f>2794</f>
        <v>2794</v>
      </c>
      <c r="P7" s="32" t="s">
        <v>1110</v>
      </c>
      <c r="Q7" s="31">
        <f>2832</f>
        <v>2832</v>
      </c>
      <c r="R7" s="32" t="s">
        <v>883</v>
      </c>
      <c r="S7" s="33">
        <f>2859.9</f>
        <v>2859.9</v>
      </c>
      <c r="T7" s="30">
        <f>6943560</f>
        <v>6943560</v>
      </c>
      <c r="U7" s="30">
        <f>4228490</f>
        <v>4228490</v>
      </c>
      <c r="V7" s="30">
        <f>20026500647</f>
        <v>20026500647</v>
      </c>
      <c r="W7" s="30">
        <f>12255683312</f>
        <v>12255683312</v>
      </c>
      <c r="X7" s="34">
        <f>20</f>
        <v>20</v>
      </c>
    </row>
    <row r="8" spans="1:24">
      <c r="A8" s="25" t="s">
        <v>1237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2781</f>
        <v>2781</v>
      </c>
      <c r="L8" s="32" t="s">
        <v>1110</v>
      </c>
      <c r="M8" s="31">
        <f>2903</f>
        <v>2903</v>
      </c>
      <c r="N8" s="32" t="s">
        <v>1113</v>
      </c>
      <c r="O8" s="31">
        <f>2764.5</f>
        <v>2764.5</v>
      </c>
      <c r="P8" s="32" t="s">
        <v>1110</v>
      </c>
      <c r="Q8" s="31">
        <f>2804.5</f>
        <v>2804.5</v>
      </c>
      <c r="R8" s="32" t="s">
        <v>883</v>
      </c>
      <c r="S8" s="33">
        <f>2830.28</f>
        <v>2830.28</v>
      </c>
      <c r="T8" s="30">
        <f>40992470</f>
        <v>40992470</v>
      </c>
      <c r="U8" s="30">
        <f>6772230</f>
        <v>6772230</v>
      </c>
      <c r="V8" s="30">
        <f>116158722138</f>
        <v>116158722138</v>
      </c>
      <c r="W8" s="30">
        <f>19166619458</f>
        <v>19166619458</v>
      </c>
      <c r="X8" s="34">
        <f>20</f>
        <v>20</v>
      </c>
    </row>
    <row r="9" spans="1:24">
      <c r="A9" s="25" t="s">
        <v>1237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2749</f>
        <v>2749</v>
      </c>
      <c r="L9" s="32" t="s">
        <v>1110</v>
      </c>
      <c r="M9" s="31">
        <f>2871</f>
        <v>2871</v>
      </c>
      <c r="N9" s="32" t="s">
        <v>1113</v>
      </c>
      <c r="O9" s="31">
        <f>2732</f>
        <v>2732</v>
      </c>
      <c r="P9" s="32" t="s">
        <v>1110</v>
      </c>
      <c r="Q9" s="31">
        <f>2770</f>
        <v>2770</v>
      </c>
      <c r="R9" s="32" t="s">
        <v>883</v>
      </c>
      <c r="S9" s="33">
        <f>2795.6</f>
        <v>2795.6</v>
      </c>
      <c r="T9" s="30">
        <f>8439370</f>
        <v>8439370</v>
      </c>
      <c r="U9" s="30">
        <f>2896239</f>
        <v>2896239</v>
      </c>
      <c r="V9" s="30">
        <f>23718231311</f>
        <v>23718231311</v>
      </c>
      <c r="W9" s="30">
        <f>8120101859</f>
        <v>8120101859</v>
      </c>
      <c r="X9" s="34">
        <f>20</f>
        <v>20</v>
      </c>
    </row>
    <row r="10" spans="1:24">
      <c r="A10" s="25" t="s">
        <v>1237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45300</f>
        <v>45300</v>
      </c>
      <c r="L10" s="32" t="s">
        <v>1110</v>
      </c>
      <c r="M10" s="31">
        <f>48780</f>
        <v>48780</v>
      </c>
      <c r="N10" s="32" t="s">
        <v>1113</v>
      </c>
      <c r="O10" s="31">
        <f>43050</f>
        <v>43050</v>
      </c>
      <c r="P10" s="32" t="s">
        <v>1114</v>
      </c>
      <c r="Q10" s="31">
        <f>43520</f>
        <v>43520</v>
      </c>
      <c r="R10" s="32" t="s">
        <v>883</v>
      </c>
      <c r="S10" s="33">
        <f>45338</f>
        <v>45338</v>
      </c>
      <c r="T10" s="30">
        <f>7928</f>
        <v>7928</v>
      </c>
      <c r="U10" s="30" t="str">
        <f>"－"</f>
        <v>－</v>
      </c>
      <c r="V10" s="30">
        <f>363198570</f>
        <v>363198570</v>
      </c>
      <c r="W10" s="30" t="str">
        <f>"－"</f>
        <v>－</v>
      </c>
      <c r="X10" s="34">
        <f>20</f>
        <v>20</v>
      </c>
    </row>
    <row r="11" spans="1:24">
      <c r="A11" s="25" t="s">
        <v>1237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1387</f>
        <v>1387</v>
      </c>
      <c r="L11" s="32" t="s">
        <v>1110</v>
      </c>
      <c r="M11" s="31">
        <f>1488.5</f>
        <v>1488.5</v>
      </c>
      <c r="N11" s="32" t="s">
        <v>678</v>
      </c>
      <c r="O11" s="31">
        <f>1375.5</f>
        <v>1375.5</v>
      </c>
      <c r="P11" s="32" t="s">
        <v>1110</v>
      </c>
      <c r="Q11" s="31">
        <f>1418.5</f>
        <v>1418.5</v>
      </c>
      <c r="R11" s="32" t="s">
        <v>883</v>
      </c>
      <c r="S11" s="33">
        <f>1422.03</f>
        <v>1422.03</v>
      </c>
      <c r="T11" s="30">
        <f>376390</f>
        <v>376390</v>
      </c>
      <c r="U11" s="30">
        <f>198000</f>
        <v>198000</v>
      </c>
      <c r="V11" s="30">
        <f>536725445</f>
        <v>536725445</v>
      </c>
      <c r="W11" s="30">
        <f>281963080</f>
        <v>281963080</v>
      </c>
      <c r="X11" s="34">
        <f>20</f>
        <v>20</v>
      </c>
    </row>
    <row r="12" spans="1:24">
      <c r="A12" s="25" t="s">
        <v>1237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520</f>
        <v>520</v>
      </c>
      <c r="L12" s="32" t="s">
        <v>1110</v>
      </c>
      <c r="M12" s="31">
        <f>545</f>
        <v>545</v>
      </c>
      <c r="N12" s="32" t="s">
        <v>1113</v>
      </c>
      <c r="O12" s="31">
        <f>518.1</f>
        <v>518.1</v>
      </c>
      <c r="P12" s="32" t="s">
        <v>1124</v>
      </c>
      <c r="Q12" s="31">
        <f>521</f>
        <v>521</v>
      </c>
      <c r="R12" s="32" t="s">
        <v>1114</v>
      </c>
      <c r="S12" s="33">
        <f>535.61</f>
        <v>535.61</v>
      </c>
      <c r="T12" s="30">
        <f>148000</f>
        <v>148000</v>
      </c>
      <c r="U12" s="30">
        <f>1000</f>
        <v>1000</v>
      </c>
      <c r="V12" s="30">
        <f>79396000</f>
        <v>79396000</v>
      </c>
      <c r="W12" s="30">
        <f>542200</f>
        <v>542200</v>
      </c>
      <c r="X12" s="34">
        <f>14</f>
        <v>14</v>
      </c>
    </row>
    <row r="13" spans="1:24">
      <c r="A13" s="25" t="s">
        <v>1237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39440</f>
        <v>39440</v>
      </c>
      <c r="L13" s="32" t="s">
        <v>1110</v>
      </c>
      <c r="M13" s="31">
        <f>41270</f>
        <v>41270</v>
      </c>
      <c r="N13" s="32" t="s">
        <v>1115</v>
      </c>
      <c r="O13" s="31">
        <f>39080</f>
        <v>39080</v>
      </c>
      <c r="P13" s="32" t="s">
        <v>1114</v>
      </c>
      <c r="Q13" s="31">
        <f>39430</f>
        <v>39430</v>
      </c>
      <c r="R13" s="32" t="s">
        <v>883</v>
      </c>
      <c r="S13" s="33">
        <f>39952.5</f>
        <v>39952.5</v>
      </c>
      <c r="T13" s="30">
        <f>1040879</f>
        <v>1040879</v>
      </c>
      <c r="U13" s="30">
        <f>313753</f>
        <v>313753</v>
      </c>
      <c r="V13" s="30">
        <f>41693267689</f>
        <v>41693267689</v>
      </c>
      <c r="W13" s="30">
        <f>12645760669</f>
        <v>12645760669</v>
      </c>
      <c r="X13" s="34">
        <f>20</f>
        <v>20</v>
      </c>
    </row>
    <row r="14" spans="1:24">
      <c r="A14" s="25" t="s">
        <v>1237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39590</f>
        <v>39590</v>
      </c>
      <c r="L14" s="32" t="s">
        <v>1110</v>
      </c>
      <c r="M14" s="31">
        <f>41400</f>
        <v>41400</v>
      </c>
      <c r="N14" s="32" t="s">
        <v>1115</v>
      </c>
      <c r="O14" s="31">
        <f>39220</f>
        <v>39220</v>
      </c>
      <c r="P14" s="32" t="s">
        <v>1114</v>
      </c>
      <c r="Q14" s="31">
        <f>39630</f>
        <v>39630</v>
      </c>
      <c r="R14" s="32" t="s">
        <v>883</v>
      </c>
      <c r="S14" s="33">
        <f>40084</f>
        <v>40084</v>
      </c>
      <c r="T14" s="30">
        <f>6873714</f>
        <v>6873714</v>
      </c>
      <c r="U14" s="30">
        <f>286948</f>
        <v>286948</v>
      </c>
      <c r="V14" s="30">
        <f>276080302062</f>
        <v>276080302062</v>
      </c>
      <c r="W14" s="30">
        <f>11543752312</f>
        <v>11543752312</v>
      </c>
      <c r="X14" s="34">
        <f>20</f>
        <v>20</v>
      </c>
    </row>
    <row r="15" spans="1:24">
      <c r="A15" s="25" t="s">
        <v>1237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8665</f>
        <v>8665</v>
      </c>
      <c r="L15" s="32" t="s">
        <v>1110</v>
      </c>
      <c r="M15" s="31">
        <f>9505</f>
        <v>9505</v>
      </c>
      <c r="N15" s="32" t="s">
        <v>1113</v>
      </c>
      <c r="O15" s="31">
        <f>8395</f>
        <v>8395</v>
      </c>
      <c r="P15" s="32" t="s">
        <v>883</v>
      </c>
      <c r="Q15" s="31">
        <f>8561</f>
        <v>8561</v>
      </c>
      <c r="R15" s="32" t="s">
        <v>883</v>
      </c>
      <c r="S15" s="33">
        <f>8859.6</f>
        <v>8859.6</v>
      </c>
      <c r="T15" s="30">
        <f>61840</f>
        <v>61840</v>
      </c>
      <c r="U15" s="30" t="str">
        <f>"－"</f>
        <v>－</v>
      </c>
      <c r="V15" s="30">
        <f>550582120</f>
        <v>550582120</v>
      </c>
      <c r="W15" s="30" t="str">
        <f>"－"</f>
        <v>－</v>
      </c>
      <c r="X15" s="34">
        <f>20</f>
        <v>20</v>
      </c>
    </row>
    <row r="16" spans="1:24">
      <c r="A16" s="25" t="s">
        <v>1237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 t="s">
        <v>761</v>
      </c>
      <c r="I16" s="29"/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1237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203.1</f>
        <v>203.1</v>
      </c>
      <c r="L17" s="32" t="s">
        <v>1110</v>
      </c>
      <c r="M17" s="31">
        <f>211.7</f>
        <v>211.7</v>
      </c>
      <c r="N17" s="32" t="s">
        <v>684</v>
      </c>
      <c r="O17" s="31">
        <f>191.3</f>
        <v>191.3</v>
      </c>
      <c r="P17" s="32" t="s">
        <v>883</v>
      </c>
      <c r="Q17" s="31">
        <f>194</f>
        <v>194</v>
      </c>
      <c r="R17" s="32" t="s">
        <v>883</v>
      </c>
      <c r="S17" s="33">
        <f>205.7</f>
        <v>205.7</v>
      </c>
      <c r="T17" s="30">
        <f>560900</f>
        <v>560900</v>
      </c>
      <c r="U17" s="30">
        <f>1100</f>
        <v>1100</v>
      </c>
      <c r="V17" s="30">
        <f>113609310</f>
        <v>113609310</v>
      </c>
      <c r="W17" s="30">
        <f>226310</f>
        <v>226310</v>
      </c>
      <c r="X17" s="34">
        <f>20</f>
        <v>20</v>
      </c>
    </row>
    <row r="18" spans="1:24">
      <c r="A18" s="25" t="s">
        <v>1237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38730</f>
        <v>38730</v>
      </c>
      <c r="L18" s="32" t="s">
        <v>1110</v>
      </c>
      <c r="M18" s="31">
        <f>39350</f>
        <v>39350</v>
      </c>
      <c r="N18" s="32" t="s">
        <v>1110</v>
      </c>
      <c r="O18" s="31">
        <f>36560</f>
        <v>36560</v>
      </c>
      <c r="P18" s="32" t="s">
        <v>678</v>
      </c>
      <c r="Q18" s="31">
        <f>36910</f>
        <v>36910</v>
      </c>
      <c r="R18" s="32" t="s">
        <v>883</v>
      </c>
      <c r="S18" s="33">
        <f>37648</f>
        <v>37648</v>
      </c>
      <c r="T18" s="30">
        <f>383086</f>
        <v>383086</v>
      </c>
      <c r="U18" s="30">
        <f>48812</f>
        <v>48812</v>
      </c>
      <c r="V18" s="30">
        <f>14452614907</f>
        <v>14452614907</v>
      </c>
      <c r="W18" s="30">
        <f>1852906357</f>
        <v>1852906357</v>
      </c>
      <c r="X18" s="34">
        <f>20</f>
        <v>20</v>
      </c>
    </row>
    <row r="19" spans="1:24">
      <c r="A19" s="25" t="s">
        <v>1237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10165</f>
        <v>10165</v>
      </c>
      <c r="L19" s="32" t="s">
        <v>1110</v>
      </c>
      <c r="M19" s="31">
        <f>10280</f>
        <v>10280</v>
      </c>
      <c r="N19" s="32" t="s">
        <v>874</v>
      </c>
      <c r="O19" s="31">
        <f>9610</f>
        <v>9610</v>
      </c>
      <c r="P19" s="32" t="s">
        <v>678</v>
      </c>
      <c r="Q19" s="31">
        <f>9712</f>
        <v>9712</v>
      </c>
      <c r="R19" s="32" t="s">
        <v>883</v>
      </c>
      <c r="S19" s="33">
        <f>9925.15</f>
        <v>9925.15</v>
      </c>
      <c r="T19" s="30">
        <f>517340</f>
        <v>517340</v>
      </c>
      <c r="U19" s="30">
        <f>49890</f>
        <v>49890</v>
      </c>
      <c r="V19" s="30">
        <f>5133644888</f>
        <v>5133644888</v>
      </c>
      <c r="W19" s="30">
        <f>488658678</f>
        <v>488658678</v>
      </c>
      <c r="X19" s="34">
        <f>20</f>
        <v>20</v>
      </c>
    </row>
    <row r="20" spans="1:24">
      <c r="A20" s="25" t="s">
        <v>1237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39690</f>
        <v>39690</v>
      </c>
      <c r="L20" s="32" t="s">
        <v>1110</v>
      </c>
      <c r="M20" s="31">
        <f>41500</f>
        <v>41500</v>
      </c>
      <c r="N20" s="32" t="s">
        <v>1115</v>
      </c>
      <c r="O20" s="31">
        <f>39320</f>
        <v>39320</v>
      </c>
      <c r="P20" s="32" t="s">
        <v>1114</v>
      </c>
      <c r="Q20" s="31">
        <f>39680</f>
        <v>39680</v>
      </c>
      <c r="R20" s="32" t="s">
        <v>883</v>
      </c>
      <c r="S20" s="33">
        <f>40208</f>
        <v>40208</v>
      </c>
      <c r="T20" s="30">
        <f>777591</f>
        <v>777591</v>
      </c>
      <c r="U20" s="30">
        <f>64084</f>
        <v>64084</v>
      </c>
      <c r="V20" s="30">
        <f>31330386042</f>
        <v>31330386042</v>
      </c>
      <c r="W20" s="30">
        <f>2560020922</f>
        <v>2560020922</v>
      </c>
      <c r="X20" s="34">
        <f>20</f>
        <v>20</v>
      </c>
    </row>
    <row r="21" spans="1:24">
      <c r="A21" s="25" t="s">
        <v>1237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39620</f>
        <v>39620</v>
      </c>
      <c r="L21" s="32" t="s">
        <v>1110</v>
      </c>
      <c r="M21" s="31">
        <f>41440</f>
        <v>41440</v>
      </c>
      <c r="N21" s="32" t="s">
        <v>1115</v>
      </c>
      <c r="O21" s="31">
        <f>39250</f>
        <v>39250</v>
      </c>
      <c r="P21" s="32" t="s">
        <v>1114</v>
      </c>
      <c r="Q21" s="31">
        <f>39610</f>
        <v>39610</v>
      </c>
      <c r="R21" s="32" t="s">
        <v>883</v>
      </c>
      <c r="S21" s="33">
        <f>40137</f>
        <v>40137</v>
      </c>
      <c r="T21" s="30">
        <f>1113327</f>
        <v>1113327</v>
      </c>
      <c r="U21" s="30">
        <f>483014</f>
        <v>483014</v>
      </c>
      <c r="V21" s="30">
        <f>44598894615</f>
        <v>44598894615</v>
      </c>
      <c r="W21" s="30">
        <f>19289056725</f>
        <v>19289056725</v>
      </c>
      <c r="X21" s="34">
        <f>20</f>
        <v>20</v>
      </c>
    </row>
    <row r="22" spans="1:24">
      <c r="A22" s="25" t="s">
        <v>1237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1034</f>
        <v>1034</v>
      </c>
      <c r="L22" s="32" t="s">
        <v>1110</v>
      </c>
      <c r="M22" s="31">
        <f>1067</f>
        <v>1067</v>
      </c>
      <c r="N22" s="32" t="s">
        <v>875</v>
      </c>
      <c r="O22" s="31">
        <f>1016</f>
        <v>1016</v>
      </c>
      <c r="P22" s="32" t="s">
        <v>883</v>
      </c>
      <c r="Q22" s="31">
        <f>1018</f>
        <v>1018</v>
      </c>
      <c r="R22" s="32" t="s">
        <v>883</v>
      </c>
      <c r="S22" s="33">
        <f>1045.6</f>
        <v>1045.5999999999999</v>
      </c>
      <c r="T22" s="30">
        <f>1319808</f>
        <v>1319808</v>
      </c>
      <c r="U22" s="30">
        <f>487915</f>
        <v>487915</v>
      </c>
      <c r="V22" s="30">
        <f>1354969087</f>
        <v>1354969087</v>
      </c>
      <c r="W22" s="30">
        <f>499178116</f>
        <v>499178116</v>
      </c>
      <c r="X22" s="34">
        <f>20</f>
        <v>20</v>
      </c>
    </row>
    <row r="23" spans="1:24">
      <c r="A23" s="25" t="s">
        <v>1237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1825.5</f>
        <v>1825.5</v>
      </c>
      <c r="L23" s="32" t="s">
        <v>1110</v>
      </c>
      <c r="M23" s="31">
        <f>1836</f>
        <v>1836</v>
      </c>
      <c r="N23" s="32" t="s">
        <v>1124</v>
      </c>
      <c r="O23" s="31">
        <f>1772</f>
        <v>1772</v>
      </c>
      <c r="P23" s="32" t="s">
        <v>1117</v>
      </c>
      <c r="Q23" s="31">
        <f>1790</f>
        <v>1790</v>
      </c>
      <c r="R23" s="32" t="s">
        <v>883</v>
      </c>
      <c r="S23" s="33">
        <f>1799.4</f>
        <v>1799.4</v>
      </c>
      <c r="T23" s="30">
        <f>16839910</f>
        <v>16839910</v>
      </c>
      <c r="U23" s="30">
        <f>6021760</f>
        <v>6021760</v>
      </c>
      <c r="V23" s="30">
        <f>30295250678</f>
        <v>30295250678</v>
      </c>
      <c r="W23" s="30">
        <f>10832131243</f>
        <v>10832131243</v>
      </c>
      <c r="X23" s="34">
        <f>20</f>
        <v>20</v>
      </c>
    </row>
    <row r="24" spans="1:24">
      <c r="A24" s="25" t="s">
        <v>1237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1713.5</f>
        <v>1713.5</v>
      </c>
      <c r="L24" s="32" t="s">
        <v>1110</v>
      </c>
      <c r="M24" s="31">
        <f>1718.5</f>
        <v>1718.5</v>
      </c>
      <c r="N24" s="32" t="s">
        <v>1110</v>
      </c>
      <c r="O24" s="31">
        <f>1671</f>
        <v>1671</v>
      </c>
      <c r="P24" s="32" t="s">
        <v>1117</v>
      </c>
      <c r="Q24" s="31">
        <f>1691</f>
        <v>1691</v>
      </c>
      <c r="R24" s="32" t="s">
        <v>883</v>
      </c>
      <c r="S24" s="33">
        <f>1696.63</f>
        <v>1696.63</v>
      </c>
      <c r="T24" s="30">
        <f>1906900</f>
        <v>1906900</v>
      </c>
      <c r="U24" s="30">
        <f>580000</f>
        <v>580000</v>
      </c>
      <c r="V24" s="30">
        <f>3232204814</f>
        <v>3232204814</v>
      </c>
      <c r="W24" s="30">
        <f>979559514</f>
        <v>979559514</v>
      </c>
      <c r="X24" s="34">
        <f>20</f>
        <v>20</v>
      </c>
    </row>
    <row r="25" spans="1:24">
      <c r="A25" s="25" t="s">
        <v>1237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39640</f>
        <v>39640</v>
      </c>
      <c r="L25" s="32" t="s">
        <v>1110</v>
      </c>
      <c r="M25" s="31">
        <f>41460</f>
        <v>41460</v>
      </c>
      <c r="N25" s="32" t="s">
        <v>1115</v>
      </c>
      <c r="O25" s="31">
        <f>39270</f>
        <v>39270</v>
      </c>
      <c r="P25" s="32" t="s">
        <v>1114</v>
      </c>
      <c r="Q25" s="31">
        <f>39620</f>
        <v>39620</v>
      </c>
      <c r="R25" s="32" t="s">
        <v>883</v>
      </c>
      <c r="S25" s="33">
        <f>40135</f>
        <v>40135</v>
      </c>
      <c r="T25" s="30">
        <f>973921</f>
        <v>973921</v>
      </c>
      <c r="U25" s="30">
        <f>415860</f>
        <v>415860</v>
      </c>
      <c r="V25" s="30">
        <f>39120142493</f>
        <v>39120142493</v>
      </c>
      <c r="W25" s="30">
        <f>16670981493</f>
        <v>16670981493</v>
      </c>
      <c r="X25" s="34">
        <f>20</f>
        <v>20</v>
      </c>
    </row>
    <row r="26" spans="1:24">
      <c r="A26" s="25" t="s">
        <v>1237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2773</f>
        <v>2773</v>
      </c>
      <c r="L26" s="32" t="s">
        <v>1110</v>
      </c>
      <c r="M26" s="31">
        <f>2895</f>
        <v>2895</v>
      </c>
      <c r="N26" s="32" t="s">
        <v>677</v>
      </c>
      <c r="O26" s="31">
        <f>2757</f>
        <v>2757</v>
      </c>
      <c r="P26" s="32" t="s">
        <v>1110</v>
      </c>
      <c r="Q26" s="31">
        <f>2791</f>
        <v>2791</v>
      </c>
      <c r="R26" s="32" t="s">
        <v>883</v>
      </c>
      <c r="S26" s="33">
        <f>2821.55</f>
        <v>2821.55</v>
      </c>
      <c r="T26" s="30">
        <f>1969580</f>
        <v>1969580</v>
      </c>
      <c r="U26" s="30">
        <f>405920</f>
        <v>405920</v>
      </c>
      <c r="V26" s="30">
        <f>5558269590</f>
        <v>5558269590</v>
      </c>
      <c r="W26" s="30">
        <f>1147668935</f>
        <v>1147668935</v>
      </c>
      <c r="X26" s="34">
        <f>20</f>
        <v>20</v>
      </c>
    </row>
    <row r="27" spans="1:24">
      <c r="A27" s="25" t="s">
        <v>1237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16820</f>
        <v>16820</v>
      </c>
      <c r="L27" s="32" t="s">
        <v>674</v>
      </c>
      <c r="M27" s="31">
        <f>17000</f>
        <v>17000</v>
      </c>
      <c r="N27" s="32" t="s">
        <v>1117</v>
      </c>
      <c r="O27" s="31">
        <f>16490</f>
        <v>16490</v>
      </c>
      <c r="P27" s="32" t="s">
        <v>883</v>
      </c>
      <c r="Q27" s="31">
        <f>16625</f>
        <v>16625</v>
      </c>
      <c r="R27" s="32" t="s">
        <v>883</v>
      </c>
      <c r="S27" s="33">
        <f>16829.69</f>
        <v>16829.689999999999</v>
      </c>
      <c r="T27" s="30">
        <f>622</f>
        <v>622</v>
      </c>
      <c r="U27" s="30" t="str">
        <f>"－"</f>
        <v>－</v>
      </c>
      <c r="V27" s="30">
        <f>10420935</f>
        <v>10420935</v>
      </c>
      <c r="W27" s="30" t="str">
        <f>"－"</f>
        <v>－</v>
      </c>
      <c r="X27" s="34">
        <f>16</f>
        <v>16</v>
      </c>
    </row>
    <row r="28" spans="1:24">
      <c r="A28" s="25" t="s">
        <v>1237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343.7</f>
        <v>343.7</v>
      </c>
      <c r="L28" s="32" t="s">
        <v>1110</v>
      </c>
      <c r="M28" s="31">
        <f>346.3</f>
        <v>346.3</v>
      </c>
      <c r="N28" s="32" t="s">
        <v>1110</v>
      </c>
      <c r="O28" s="31">
        <f>313.2</f>
        <v>313.2</v>
      </c>
      <c r="P28" s="32" t="s">
        <v>677</v>
      </c>
      <c r="Q28" s="31">
        <f>334.8</f>
        <v>334.8</v>
      </c>
      <c r="R28" s="32" t="s">
        <v>883</v>
      </c>
      <c r="S28" s="33">
        <f>329.5</f>
        <v>329.5</v>
      </c>
      <c r="T28" s="30">
        <f>43905310</f>
        <v>43905310</v>
      </c>
      <c r="U28" s="30">
        <f>3250</f>
        <v>3250</v>
      </c>
      <c r="V28" s="30">
        <f>14379248592</f>
        <v>14379248592</v>
      </c>
      <c r="W28" s="30">
        <f>1059445</f>
        <v>1059445</v>
      </c>
      <c r="X28" s="34">
        <f>20</f>
        <v>20</v>
      </c>
    </row>
    <row r="29" spans="1:24">
      <c r="A29" s="25" t="s">
        <v>1237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126</f>
        <v>126</v>
      </c>
      <c r="L29" s="32" t="s">
        <v>1110</v>
      </c>
      <c r="M29" s="31">
        <f>129</f>
        <v>129</v>
      </c>
      <c r="N29" s="32" t="s">
        <v>1110</v>
      </c>
      <c r="O29" s="31">
        <f>115</f>
        <v>115</v>
      </c>
      <c r="P29" s="32" t="s">
        <v>1115</v>
      </c>
      <c r="Q29" s="31">
        <f>125</f>
        <v>125</v>
      </c>
      <c r="R29" s="32" t="s">
        <v>883</v>
      </c>
      <c r="S29" s="33">
        <f>122.95</f>
        <v>122.95</v>
      </c>
      <c r="T29" s="30">
        <f>949691377</f>
        <v>949691377</v>
      </c>
      <c r="U29" s="30">
        <f>24985828</f>
        <v>24985828</v>
      </c>
      <c r="V29" s="30">
        <f>115297180761</f>
        <v>115297180761</v>
      </c>
      <c r="W29" s="30">
        <f>3091190498</f>
        <v>3091190498</v>
      </c>
      <c r="X29" s="34">
        <f>20</f>
        <v>20</v>
      </c>
    </row>
    <row r="30" spans="1:24">
      <c r="A30" s="25" t="s">
        <v>1237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49010</f>
        <v>49010</v>
      </c>
      <c r="L30" s="32" t="s">
        <v>1110</v>
      </c>
      <c r="M30" s="31">
        <f>53140</f>
        <v>53140</v>
      </c>
      <c r="N30" s="32" t="s">
        <v>1115</v>
      </c>
      <c r="O30" s="31">
        <f>47560</f>
        <v>47560</v>
      </c>
      <c r="P30" s="32" t="s">
        <v>1114</v>
      </c>
      <c r="Q30" s="31">
        <f>48530</f>
        <v>48530</v>
      </c>
      <c r="R30" s="32" t="s">
        <v>883</v>
      </c>
      <c r="S30" s="33">
        <f>49762.5</f>
        <v>49762.5</v>
      </c>
      <c r="T30" s="30">
        <f>312703</f>
        <v>312703</v>
      </c>
      <c r="U30" s="30">
        <f>1</f>
        <v>1</v>
      </c>
      <c r="V30" s="30">
        <f>15632236330</f>
        <v>15632236330</v>
      </c>
      <c r="W30" s="30">
        <f>48220</f>
        <v>48220</v>
      </c>
      <c r="X30" s="34">
        <f>20</f>
        <v>20</v>
      </c>
    </row>
    <row r="31" spans="1:24">
      <c r="A31" s="25" t="s">
        <v>1237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310.8</f>
        <v>310.8</v>
      </c>
      <c r="L31" s="32" t="s">
        <v>1110</v>
      </c>
      <c r="M31" s="31">
        <f>314.7</f>
        <v>314.7</v>
      </c>
      <c r="N31" s="32" t="s">
        <v>1114</v>
      </c>
      <c r="O31" s="31">
        <f>282.9</f>
        <v>282.89999999999998</v>
      </c>
      <c r="P31" s="32" t="s">
        <v>1113</v>
      </c>
      <c r="Q31" s="31">
        <f>308.1</f>
        <v>308.10000000000002</v>
      </c>
      <c r="R31" s="32" t="s">
        <v>883</v>
      </c>
      <c r="S31" s="33">
        <f>301.59</f>
        <v>301.58999999999997</v>
      </c>
      <c r="T31" s="30">
        <f>901336500</f>
        <v>901336500</v>
      </c>
      <c r="U31" s="30">
        <f>5085310</f>
        <v>5085310</v>
      </c>
      <c r="V31" s="30">
        <f>271157696474</f>
        <v>271157696474</v>
      </c>
      <c r="W31" s="30">
        <f>1526932508</f>
        <v>1526932508</v>
      </c>
      <c r="X31" s="34">
        <f>20</f>
        <v>20</v>
      </c>
    </row>
    <row r="32" spans="1:24">
      <c r="A32" s="25" t="s">
        <v>1237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24940</f>
        <v>24940</v>
      </c>
      <c r="L32" s="32" t="s">
        <v>1110</v>
      </c>
      <c r="M32" s="31">
        <f>26000</f>
        <v>26000</v>
      </c>
      <c r="N32" s="32" t="s">
        <v>1113</v>
      </c>
      <c r="O32" s="31">
        <f>24815</f>
        <v>24815</v>
      </c>
      <c r="P32" s="32" t="s">
        <v>1110</v>
      </c>
      <c r="Q32" s="31">
        <f>25120</f>
        <v>25120</v>
      </c>
      <c r="R32" s="32" t="s">
        <v>883</v>
      </c>
      <c r="S32" s="33">
        <f>25343.25</f>
        <v>25343.25</v>
      </c>
      <c r="T32" s="30">
        <f>9509</f>
        <v>9509</v>
      </c>
      <c r="U32" s="30" t="str">
        <f>"－"</f>
        <v>－</v>
      </c>
      <c r="V32" s="30">
        <f>242019240</f>
        <v>242019240</v>
      </c>
      <c r="W32" s="30" t="str">
        <f>"－"</f>
        <v>－</v>
      </c>
      <c r="X32" s="34">
        <f>20</f>
        <v>20</v>
      </c>
    </row>
    <row r="33" spans="1:24">
      <c r="A33" s="25" t="s">
        <v>1237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40070</f>
        <v>40070</v>
      </c>
      <c r="L33" s="32" t="s">
        <v>1110</v>
      </c>
      <c r="M33" s="31">
        <f>43530</f>
        <v>43530</v>
      </c>
      <c r="N33" s="32" t="s">
        <v>1115</v>
      </c>
      <c r="O33" s="31">
        <f>38950</f>
        <v>38950</v>
      </c>
      <c r="P33" s="32" t="s">
        <v>1114</v>
      </c>
      <c r="Q33" s="31">
        <f>39690</f>
        <v>39690</v>
      </c>
      <c r="R33" s="32" t="s">
        <v>883</v>
      </c>
      <c r="S33" s="33">
        <f>40748</f>
        <v>40748</v>
      </c>
      <c r="T33" s="30">
        <f>1140339</f>
        <v>1140339</v>
      </c>
      <c r="U33" s="30">
        <f>9983</f>
        <v>9983</v>
      </c>
      <c r="V33" s="30">
        <f>46711950555</f>
        <v>46711950555</v>
      </c>
      <c r="W33" s="30">
        <f>409107375</f>
        <v>409107375</v>
      </c>
      <c r="X33" s="34">
        <f>20</f>
        <v>20</v>
      </c>
    </row>
    <row r="34" spans="1:24">
      <c r="A34" s="25" t="s">
        <v>1237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318</f>
        <v>318</v>
      </c>
      <c r="L34" s="32" t="s">
        <v>1110</v>
      </c>
      <c r="M34" s="31">
        <f>323</f>
        <v>323</v>
      </c>
      <c r="N34" s="32" t="s">
        <v>1114</v>
      </c>
      <c r="O34" s="31">
        <f>290</f>
        <v>290</v>
      </c>
      <c r="P34" s="32" t="s">
        <v>1115</v>
      </c>
      <c r="Q34" s="31">
        <f>316</f>
        <v>316</v>
      </c>
      <c r="R34" s="32" t="s">
        <v>883</v>
      </c>
      <c r="S34" s="33">
        <f>309.45</f>
        <v>309.45</v>
      </c>
      <c r="T34" s="30">
        <f>30090292</f>
        <v>30090292</v>
      </c>
      <c r="U34" s="30">
        <f>289348</f>
        <v>289348</v>
      </c>
      <c r="V34" s="30">
        <f>9264737955</f>
        <v>9264737955</v>
      </c>
      <c r="W34" s="30">
        <f>88880799</f>
        <v>88880799</v>
      </c>
      <c r="X34" s="34">
        <f>20</f>
        <v>20</v>
      </c>
    </row>
    <row r="35" spans="1:24">
      <c r="A35" s="25" t="s">
        <v>1237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33940</f>
        <v>33940</v>
      </c>
      <c r="L35" s="32" t="s">
        <v>1110</v>
      </c>
      <c r="M35" s="31">
        <f>37110</f>
        <v>37110</v>
      </c>
      <c r="N35" s="32" t="s">
        <v>677</v>
      </c>
      <c r="O35" s="31">
        <f>33660</f>
        <v>33660</v>
      </c>
      <c r="P35" s="32" t="s">
        <v>1110</v>
      </c>
      <c r="Q35" s="31">
        <f>34540</f>
        <v>34540</v>
      </c>
      <c r="R35" s="32" t="s">
        <v>883</v>
      </c>
      <c r="S35" s="33">
        <f>35256.5</f>
        <v>35256.5</v>
      </c>
      <c r="T35" s="30">
        <f>125757</f>
        <v>125757</v>
      </c>
      <c r="U35" s="30">
        <f>3924</f>
        <v>3924</v>
      </c>
      <c r="V35" s="30">
        <f>4465507830</f>
        <v>4465507830</v>
      </c>
      <c r="W35" s="30">
        <f>139216060</f>
        <v>139216060</v>
      </c>
      <c r="X35" s="34">
        <f>20</f>
        <v>20</v>
      </c>
    </row>
    <row r="36" spans="1:24">
      <c r="A36" s="25" t="s">
        <v>1237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495</f>
        <v>495</v>
      </c>
      <c r="L36" s="32" t="s">
        <v>1110</v>
      </c>
      <c r="M36" s="31">
        <f>500</f>
        <v>500</v>
      </c>
      <c r="N36" s="32" t="s">
        <v>1110</v>
      </c>
      <c r="O36" s="31">
        <f>452</f>
        <v>452</v>
      </c>
      <c r="P36" s="32" t="s">
        <v>1113</v>
      </c>
      <c r="Q36" s="31">
        <f>482</f>
        <v>482</v>
      </c>
      <c r="R36" s="32" t="s">
        <v>883</v>
      </c>
      <c r="S36" s="33">
        <f>475.35</f>
        <v>475.35</v>
      </c>
      <c r="T36" s="30">
        <f>2341566</f>
        <v>2341566</v>
      </c>
      <c r="U36" s="30">
        <f>2408</f>
        <v>2408</v>
      </c>
      <c r="V36" s="30">
        <f>1100398044</f>
        <v>1100398044</v>
      </c>
      <c r="W36" s="30">
        <f>1118064</f>
        <v>1118064</v>
      </c>
      <c r="X36" s="34">
        <f>20</f>
        <v>20</v>
      </c>
    </row>
    <row r="37" spans="1:24">
      <c r="A37" s="25" t="s">
        <v>1237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38720</f>
        <v>38720</v>
      </c>
      <c r="L37" s="32" t="s">
        <v>1110</v>
      </c>
      <c r="M37" s="31">
        <f>40280</f>
        <v>40280</v>
      </c>
      <c r="N37" s="32" t="s">
        <v>1115</v>
      </c>
      <c r="O37" s="31">
        <f>38150</f>
        <v>38150</v>
      </c>
      <c r="P37" s="32" t="s">
        <v>1114</v>
      </c>
      <c r="Q37" s="31">
        <f>38530</f>
        <v>38530</v>
      </c>
      <c r="R37" s="32" t="s">
        <v>883</v>
      </c>
      <c r="S37" s="33">
        <f>39012</f>
        <v>39012</v>
      </c>
      <c r="T37" s="30">
        <f>334454</f>
        <v>334454</v>
      </c>
      <c r="U37" s="30">
        <f>167668</f>
        <v>167668</v>
      </c>
      <c r="V37" s="30">
        <f>13179584599</f>
        <v>13179584599</v>
      </c>
      <c r="W37" s="30">
        <f>6662244399</f>
        <v>6662244399</v>
      </c>
      <c r="X37" s="34">
        <f>20</f>
        <v>20</v>
      </c>
    </row>
    <row r="38" spans="1:24">
      <c r="A38" s="25" t="s">
        <v>1237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38560</f>
        <v>38560</v>
      </c>
      <c r="L38" s="32" t="s">
        <v>1110</v>
      </c>
      <c r="M38" s="31">
        <f>40290</f>
        <v>40290</v>
      </c>
      <c r="N38" s="32" t="s">
        <v>1113</v>
      </c>
      <c r="O38" s="31">
        <f>38200</f>
        <v>38200</v>
      </c>
      <c r="P38" s="32" t="s">
        <v>1114</v>
      </c>
      <c r="Q38" s="31">
        <f>38550</f>
        <v>38550</v>
      </c>
      <c r="R38" s="32" t="s">
        <v>883</v>
      </c>
      <c r="S38" s="33">
        <f>39073</f>
        <v>39073</v>
      </c>
      <c r="T38" s="30">
        <f>122133</f>
        <v>122133</v>
      </c>
      <c r="U38" s="30">
        <f>58588</f>
        <v>58588</v>
      </c>
      <c r="V38" s="30">
        <f>4754392399</f>
        <v>4754392399</v>
      </c>
      <c r="W38" s="30">
        <f>2272099549</f>
        <v>2272099549</v>
      </c>
      <c r="X38" s="34">
        <f>20</f>
        <v>20</v>
      </c>
    </row>
    <row r="39" spans="1:24">
      <c r="A39" s="25" t="s">
        <v>1237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1728</f>
        <v>1728</v>
      </c>
      <c r="L39" s="32" t="s">
        <v>1110</v>
      </c>
      <c r="M39" s="31">
        <f>1752.5</f>
        <v>1752.5</v>
      </c>
      <c r="N39" s="32" t="s">
        <v>679</v>
      </c>
      <c r="O39" s="31">
        <f>1699</f>
        <v>1699</v>
      </c>
      <c r="P39" s="32" t="s">
        <v>1117</v>
      </c>
      <c r="Q39" s="31">
        <f>1717</f>
        <v>1717</v>
      </c>
      <c r="R39" s="32" t="s">
        <v>883</v>
      </c>
      <c r="S39" s="33">
        <f>1723.48</f>
        <v>1723.48</v>
      </c>
      <c r="T39" s="30">
        <f>2650340</f>
        <v>2650340</v>
      </c>
      <c r="U39" s="30">
        <f>389200</f>
        <v>389200</v>
      </c>
      <c r="V39" s="30">
        <f>4571527320</f>
        <v>4571527320</v>
      </c>
      <c r="W39" s="30">
        <f>672656405</f>
        <v>672656405</v>
      </c>
      <c r="X39" s="34">
        <f>20</f>
        <v>20</v>
      </c>
    </row>
    <row r="40" spans="1:24">
      <c r="A40" s="25" t="s">
        <v>1237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2186.5</f>
        <v>2186.5</v>
      </c>
      <c r="L40" s="32" t="s">
        <v>1110</v>
      </c>
      <c r="M40" s="31">
        <f>2260</f>
        <v>2260</v>
      </c>
      <c r="N40" s="32" t="s">
        <v>1113</v>
      </c>
      <c r="O40" s="31">
        <f>2174</f>
        <v>2174</v>
      </c>
      <c r="P40" s="32" t="s">
        <v>1111</v>
      </c>
      <c r="Q40" s="31">
        <f>2184</f>
        <v>2184</v>
      </c>
      <c r="R40" s="32" t="s">
        <v>1114</v>
      </c>
      <c r="S40" s="33">
        <f>2206.53</f>
        <v>2206.5300000000002</v>
      </c>
      <c r="T40" s="30">
        <f>15320</f>
        <v>15320</v>
      </c>
      <c r="U40" s="30">
        <f>10</f>
        <v>10</v>
      </c>
      <c r="V40" s="30">
        <f>33916780</f>
        <v>33916780</v>
      </c>
      <c r="W40" s="30">
        <f>22210</f>
        <v>22210</v>
      </c>
      <c r="X40" s="34">
        <f>17</f>
        <v>17</v>
      </c>
    </row>
    <row r="41" spans="1:24">
      <c r="A41" s="25" t="s">
        <v>1237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2004</f>
        <v>2004</v>
      </c>
      <c r="L41" s="32" t="s">
        <v>1110</v>
      </c>
      <c r="M41" s="31">
        <f>2070</f>
        <v>2070</v>
      </c>
      <c r="N41" s="32" t="s">
        <v>875</v>
      </c>
      <c r="O41" s="31">
        <f>1985</f>
        <v>1985</v>
      </c>
      <c r="P41" s="32" t="s">
        <v>684</v>
      </c>
      <c r="Q41" s="31">
        <f>1992</f>
        <v>1992</v>
      </c>
      <c r="R41" s="32" t="s">
        <v>883</v>
      </c>
      <c r="S41" s="33">
        <f>2006.15</f>
        <v>2006.15</v>
      </c>
      <c r="T41" s="30">
        <f>4229316</f>
        <v>4229316</v>
      </c>
      <c r="U41" s="30">
        <f>4168002</f>
        <v>4168002</v>
      </c>
      <c r="V41" s="30">
        <f>8481377122</f>
        <v>8481377122</v>
      </c>
      <c r="W41" s="30">
        <f>8358528948</f>
        <v>8358528948</v>
      </c>
      <c r="X41" s="34">
        <f>20</f>
        <v>20</v>
      </c>
    </row>
    <row r="42" spans="1:24">
      <c r="A42" s="25" t="s">
        <v>1237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2537</f>
        <v>2537</v>
      </c>
      <c r="L42" s="32" t="s">
        <v>1110</v>
      </c>
      <c r="M42" s="31">
        <f>2553</f>
        <v>2553</v>
      </c>
      <c r="N42" s="32" t="s">
        <v>1114</v>
      </c>
      <c r="O42" s="31">
        <f>2420</f>
        <v>2420</v>
      </c>
      <c r="P42" s="32" t="s">
        <v>1115</v>
      </c>
      <c r="Q42" s="31">
        <f>2527</f>
        <v>2527</v>
      </c>
      <c r="R42" s="32" t="s">
        <v>883</v>
      </c>
      <c r="S42" s="33">
        <f>2499.35</f>
        <v>2499.35</v>
      </c>
      <c r="T42" s="30">
        <f>2323198</f>
        <v>2323198</v>
      </c>
      <c r="U42" s="30">
        <f>441780</f>
        <v>441780</v>
      </c>
      <c r="V42" s="30">
        <f>5808930695</f>
        <v>5808930695</v>
      </c>
      <c r="W42" s="30">
        <f>1108018356</f>
        <v>1108018356</v>
      </c>
      <c r="X42" s="34">
        <f>20</f>
        <v>20</v>
      </c>
    </row>
    <row r="43" spans="1:24">
      <c r="A43" s="25" t="s">
        <v>1237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3045</f>
        <v>3045</v>
      </c>
      <c r="L43" s="32" t="s">
        <v>1110</v>
      </c>
      <c r="M43" s="31">
        <f>3060</f>
        <v>3060</v>
      </c>
      <c r="N43" s="32" t="s">
        <v>1110</v>
      </c>
      <c r="O43" s="31">
        <f>2915</f>
        <v>2915</v>
      </c>
      <c r="P43" s="32" t="s">
        <v>1113</v>
      </c>
      <c r="Q43" s="31">
        <f>3005</f>
        <v>3005</v>
      </c>
      <c r="R43" s="32" t="s">
        <v>883</v>
      </c>
      <c r="S43" s="33">
        <f>2986.55</f>
        <v>2986.55</v>
      </c>
      <c r="T43" s="30">
        <f>419623</f>
        <v>419623</v>
      </c>
      <c r="U43" s="30">
        <f>40</f>
        <v>40</v>
      </c>
      <c r="V43" s="30">
        <f>1256098333</f>
        <v>1256098333</v>
      </c>
      <c r="W43" s="30">
        <f>120000</f>
        <v>120000</v>
      </c>
      <c r="X43" s="34">
        <f>20</f>
        <v>20</v>
      </c>
    </row>
    <row r="44" spans="1:24">
      <c r="A44" s="25" t="s">
        <v>1237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30750</f>
        <v>30750</v>
      </c>
      <c r="L44" s="32" t="s">
        <v>1110</v>
      </c>
      <c r="M44" s="31">
        <f>33440</f>
        <v>33440</v>
      </c>
      <c r="N44" s="32" t="s">
        <v>1115</v>
      </c>
      <c r="O44" s="31">
        <f>29920</f>
        <v>29920</v>
      </c>
      <c r="P44" s="32" t="s">
        <v>1114</v>
      </c>
      <c r="Q44" s="31">
        <f>30530</f>
        <v>30530</v>
      </c>
      <c r="R44" s="32" t="s">
        <v>883</v>
      </c>
      <c r="S44" s="33">
        <f>31321</f>
        <v>31321</v>
      </c>
      <c r="T44" s="30">
        <f>7662989</f>
        <v>7662989</v>
      </c>
      <c r="U44" s="30">
        <f>49206</f>
        <v>49206</v>
      </c>
      <c r="V44" s="30">
        <f>241529768805</f>
        <v>241529768805</v>
      </c>
      <c r="W44" s="30">
        <f>1546915555</f>
        <v>1546915555</v>
      </c>
      <c r="X44" s="34">
        <f>20</f>
        <v>20</v>
      </c>
    </row>
    <row r="45" spans="1:24">
      <c r="A45" s="25" t="s">
        <v>1237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507</f>
        <v>507</v>
      </c>
      <c r="L45" s="32" t="s">
        <v>1110</v>
      </c>
      <c r="M45" s="31">
        <f>517</f>
        <v>517</v>
      </c>
      <c r="N45" s="32" t="s">
        <v>1114</v>
      </c>
      <c r="O45" s="31">
        <f>464</f>
        <v>464</v>
      </c>
      <c r="P45" s="32" t="s">
        <v>1115</v>
      </c>
      <c r="Q45" s="31">
        <f>506</f>
        <v>506</v>
      </c>
      <c r="R45" s="32" t="s">
        <v>883</v>
      </c>
      <c r="S45" s="33">
        <f>495.3</f>
        <v>495.3</v>
      </c>
      <c r="T45" s="30">
        <f>291530467</f>
        <v>291530467</v>
      </c>
      <c r="U45" s="30">
        <f>1496930</f>
        <v>1496930</v>
      </c>
      <c r="V45" s="30">
        <f>144039420856</f>
        <v>144039420856</v>
      </c>
      <c r="W45" s="30">
        <f>738908824</f>
        <v>738908824</v>
      </c>
      <c r="X45" s="34">
        <f>20</f>
        <v>20</v>
      </c>
    </row>
    <row r="46" spans="1:24">
      <c r="A46" s="25" t="s">
        <v>1237</v>
      </c>
      <c r="B46" s="25" t="s">
        <v>133</v>
      </c>
      <c r="C46" s="25" t="s">
        <v>912</v>
      </c>
      <c r="D46" s="25" t="s">
        <v>913</v>
      </c>
      <c r="E46" s="26" t="s">
        <v>1125</v>
      </c>
      <c r="F46" s="27" t="s">
        <v>1126</v>
      </c>
      <c r="G46" s="28" t="s">
        <v>1238</v>
      </c>
      <c r="H46" s="29" t="s">
        <v>761</v>
      </c>
      <c r="I46" s="29"/>
      <c r="J46" s="30">
        <v>1</v>
      </c>
      <c r="K46" s="31">
        <f>29000</f>
        <v>29000</v>
      </c>
      <c r="L46" s="32" t="s">
        <v>1110</v>
      </c>
      <c r="M46" s="31">
        <f>29420</f>
        <v>29420</v>
      </c>
      <c r="N46" s="32" t="s">
        <v>1113</v>
      </c>
      <c r="O46" s="31">
        <f>29000</f>
        <v>29000</v>
      </c>
      <c r="P46" s="32" t="s">
        <v>1110</v>
      </c>
      <c r="Q46" s="31">
        <f>29005</f>
        <v>29005</v>
      </c>
      <c r="R46" s="32" t="s">
        <v>1113</v>
      </c>
      <c r="S46" s="33">
        <f>29064</f>
        <v>29064</v>
      </c>
      <c r="T46" s="30">
        <f>1006</f>
        <v>1006</v>
      </c>
      <c r="U46" s="30">
        <f>104</f>
        <v>104</v>
      </c>
      <c r="V46" s="30">
        <f>29277975</f>
        <v>29277975</v>
      </c>
      <c r="W46" s="30">
        <f>3021770</f>
        <v>3021770</v>
      </c>
      <c r="X46" s="34">
        <f>5</f>
        <v>5</v>
      </c>
    </row>
    <row r="47" spans="1:24">
      <c r="A47" s="25" t="s">
        <v>1237</v>
      </c>
      <c r="B47" s="25" t="s">
        <v>134</v>
      </c>
      <c r="C47" s="25" t="s">
        <v>914</v>
      </c>
      <c r="D47" s="25" t="s">
        <v>915</v>
      </c>
      <c r="E47" s="26" t="s">
        <v>1125</v>
      </c>
      <c r="F47" s="27" t="s">
        <v>1126</v>
      </c>
      <c r="G47" s="28" t="s">
        <v>1238</v>
      </c>
      <c r="H47" s="29" t="s">
        <v>761</v>
      </c>
      <c r="I47" s="29"/>
      <c r="J47" s="30">
        <v>1</v>
      </c>
      <c r="K47" s="31">
        <f>2931</f>
        <v>2931</v>
      </c>
      <c r="L47" s="32" t="s">
        <v>1110</v>
      </c>
      <c r="M47" s="31">
        <f>2959</f>
        <v>2959</v>
      </c>
      <c r="N47" s="32" t="s">
        <v>1110</v>
      </c>
      <c r="O47" s="31">
        <f>2840</f>
        <v>2840</v>
      </c>
      <c r="P47" s="32" t="s">
        <v>1115</v>
      </c>
      <c r="Q47" s="31">
        <f>2851</f>
        <v>2851</v>
      </c>
      <c r="R47" s="32" t="s">
        <v>1113</v>
      </c>
      <c r="S47" s="33">
        <f>2877.4</f>
        <v>2877.4</v>
      </c>
      <c r="T47" s="30">
        <f>1055</f>
        <v>1055</v>
      </c>
      <c r="U47" s="30" t="str">
        <f>"－"</f>
        <v>－</v>
      </c>
      <c r="V47" s="30">
        <f>3043136</f>
        <v>3043136</v>
      </c>
      <c r="W47" s="30" t="str">
        <f>"－"</f>
        <v>－</v>
      </c>
      <c r="X47" s="34">
        <f>5</f>
        <v>5</v>
      </c>
    </row>
    <row r="48" spans="1:24">
      <c r="A48" s="25" t="s">
        <v>1237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616</f>
        <v>616</v>
      </c>
      <c r="L48" s="32" t="s">
        <v>1110</v>
      </c>
      <c r="M48" s="31">
        <f>624</f>
        <v>624</v>
      </c>
      <c r="N48" s="32" t="s">
        <v>1113</v>
      </c>
      <c r="O48" s="31">
        <f>593</f>
        <v>593</v>
      </c>
      <c r="P48" s="32" t="s">
        <v>1113</v>
      </c>
      <c r="Q48" s="31">
        <f>611</f>
        <v>611</v>
      </c>
      <c r="R48" s="32" t="s">
        <v>883</v>
      </c>
      <c r="S48" s="33">
        <f>606.75</f>
        <v>606.75</v>
      </c>
      <c r="T48" s="30">
        <f>30935</f>
        <v>30935</v>
      </c>
      <c r="U48" s="30" t="str">
        <f>"－"</f>
        <v>－</v>
      </c>
      <c r="V48" s="30">
        <f>18795205</f>
        <v>18795205</v>
      </c>
      <c r="W48" s="30" t="str">
        <f>"－"</f>
        <v>－</v>
      </c>
      <c r="X48" s="34">
        <f>20</f>
        <v>20</v>
      </c>
    </row>
    <row r="49" spans="1:24">
      <c r="A49" s="25" t="s">
        <v>1237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610</f>
        <v>610</v>
      </c>
      <c r="L49" s="32" t="s">
        <v>1110</v>
      </c>
      <c r="M49" s="31">
        <f>616</f>
        <v>616</v>
      </c>
      <c r="N49" s="32" t="s">
        <v>1110</v>
      </c>
      <c r="O49" s="31">
        <f>583</f>
        <v>583</v>
      </c>
      <c r="P49" s="32" t="s">
        <v>684</v>
      </c>
      <c r="Q49" s="31">
        <f>598</f>
        <v>598</v>
      </c>
      <c r="R49" s="32" t="s">
        <v>883</v>
      </c>
      <c r="S49" s="33">
        <f>595.93</f>
        <v>595.92999999999995</v>
      </c>
      <c r="T49" s="30">
        <f>86300</f>
        <v>86300</v>
      </c>
      <c r="U49" s="30">
        <f>50</f>
        <v>50</v>
      </c>
      <c r="V49" s="30">
        <f>51544607</f>
        <v>51544607</v>
      </c>
      <c r="W49" s="30">
        <f>29975</f>
        <v>29975</v>
      </c>
      <c r="X49" s="34">
        <f>20</f>
        <v>20</v>
      </c>
    </row>
    <row r="50" spans="1:24">
      <c r="A50" s="25" t="s">
        <v>1237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248</f>
        <v>248</v>
      </c>
      <c r="L50" s="32" t="s">
        <v>1110</v>
      </c>
      <c r="M50" s="31">
        <f>265</f>
        <v>265</v>
      </c>
      <c r="N50" s="32" t="s">
        <v>1110</v>
      </c>
      <c r="O50" s="31">
        <f>232</f>
        <v>232</v>
      </c>
      <c r="P50" s="32" t="s">
        <v>1115</v>
      </c>
      <c r="Q50" s="31">
        <f>241</f>
        <v>241</v>
      </c>
      <c r="R50" s="32" t="s">
        <v>883</v>
      </c>
      <c r="S50" s="33">
        <f>240.35</f>
        <v>240.35</v>
      </c>
      <c r="T50" s="30">
        <f>116224</f>
        <v>116224</v>
      </c>
      <c r="U50" s="30" t="str">
        <f>"－"</f>
        <v>－</v>
      </c>
      <c r="V50" s="30">
        <f>28139213</f>
        <v>28139213</v>
      </c>
      <c r="W50" s="30" t="str">
        <f>"－"</f>
        <v>－</v>
      </c>
      <c r="X50" s="34">
        <f>20</f>
        <v>20</v>
      </c>
    </row>
    <row r="51" spans="1:24">
      <c r="A51" s="25" t="s">
        <v>1237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2730.5</f>
        <v>2730.5</v>
      </c>
      <c r="L51" s="32" t="s">
        <v>1110</v>
      </c>
      <c r="M51" s="31">
        <f>2835</f>
        <v>2835</v>
      </c>
      <c r="N51" s="32" t="s">
        <v>1113</v>
      </c>
      <c r="O51" s="31">
        <f>2707</f>
        <v>2707</v>
      </c>
      <c r="P51" s="32" t="s">
        <v>1110</v>
      </c>
      <c r="Q51" s="31">
        <f>2750</f>
        <v>2750</v>
      </c>
      <c r="R51" s="32" t="s">
        <v>883</v>
      </c>
      <c r="S51" s="33">
        <f>2765.1</f>
        <v>2765.1</v>
      </c>
      <c r="T51" s="30">
        <f>4438690</f>
        <v>4438690</v>
      </c>
      <c r="U51" s="30">
        <f>4110800</f>
        <v>4110800</v>
      </c>
      <c r="V51" s="30">
        <f>12449249871</f>
        <v>12449249871</v>
      </c>
      <c r="W51" s="30">
        <f>11543339606</f>
        <v>11543339606</v>
      </c>
      <c r="X51" s="34">
        <f>20</f>
        <v>20</v>
      </c>
    </row>
    <row r="52" spans="1:24">
      <c r="A52" s="25" t="s">
        <v>1237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24660</f>
        <v>24660</v>
      </c>
      <c r="L52" s="32" t="s">
        <v>1110</v>
      </c>
      <c r="M52" s="31">
        <f>25710</f>
        <v>25710</v>
      </c>
      <c r="N52" s="32" t="s">
        <v>1113</v>
      </c>
      <c r="O52" s="31">
        <f>24580</f>
        <v>24580</v>
      </c>
      <c r="P52" s="32" t="s">
        <v>1110</v>
      </c>
      <c r="Q52" s="31">
        <f>24880</f>
        <v>24880</v>
      </c>
      <c r="R52" s="32" t="s">
        <v>883</v>
      </c>
      <c r="S52" s="33">
        <f>25100</f>
        <v>25100</v>
      </c>
      <c r="T52" s="30">
        <f>508514</f>
        <v>508514</v>
      </c>
      <c r="U52" s="30">
        <f>476965</f>
        <v>476965</v>
      </c>
      <c r="V52" s="30">
        <f>12883033261</f>
        <v>12883033261</v>
      </c>
      <c r="W52" s="30">
        <f>12091140376</f>
        <v>12091140376</v>
      </c>
      <c r="X52" s="34">
        <f>20</f>
        <v>20</v>
      </c>
    </row>
    <row r="53" spans="1:24">
      <c r="A53" s="25" t="s">
        <v>1237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10</v>
      </c>
      <c r="K53" s="31">
        <f>273.9</f>
        <v>273.89999999999998</v>
      </c>
      <c r="L53" s="32" t="s">
        <v>1110</v>
      </c>
      <c r="M53" s="31">
        <f>285.9</f>
        <v>285.89999999999998</v>
      </c>
      <c r="N53" s="32" t="s">
        <v>677</v>
      </c>
      <c r="O53" s="31">
        <f>272.2</f>
        <v>272.2</v>
      </c>
      <c r="P53" s="32" t="s">
        <v>1110</v>
      </c>
      <c r="Q53" s="31">
        <f>277</f>
        <v>277</v>
      </c>
      <c r="R53" s="32" t="s">
        <v>883</v>
      </c>
      <c r="S53" s="33">
        <f>278.71</f>
        <v>278.70999999999998</v>
      </c>
      <c r="T53" s="30">
        <f>67786110</f>
        <v>67786110</v>
      </c>
      <c r="U53" s="30">
        <f>30325590</f>
        <v>30325590</v>
      </c>
      <c r="V53" s="30">
        <f>18922322975</f>
        <v>18922322975</v>
      </c>
      <c r="W53" s="30">
        <f>8527224646</f>
        <v>8527224646</v>
      </c>
      <c r="X53" s="34">
        <f>20</f>
        <v>20</v>
      </c>
    </row>
    <row r="54" spans="1:24">
      <c r="A54" s="25" t="s">
        <v>1237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1746</f>
        <v>1746</v>
      </c>
      <c r="L54" s="32" t="s">
        <v>1110</v>
      </c>
      <c r="M54" s="31">
        <f>1760</f>
        <v>1760</v>
      </c>
      <c r="N54" s="32" t="s">
        <v>1124</v>
      </c>
      <c r="O54" s="31">
        <f>1700</f>
        <v>1700</v>
      </c>
      <c r="P54" s="32" t="s">
        <v>1117</v>
      </c>
      <c r="Q54" s="31">
        <f>1717</f>
        <v>1717</v>
      </c>
      <c r="R54" s="32" t="s">
        <v>883</v>
      </c>
      <c r="S54" s="33">
        <f>1726.25</f>
        <v>1726.25</v>
      </c>
      <c r="T54" s="30">
        <f>6302726</f>
        <v>6302726</v>
      </c>
      <c r="U54" s="30">
        <f>1731598</f>
        <v>1731598</v>
      </c>
      <c r="V54" s="30">
        <f>10865183195</f>
        <v>10865183195</v>
      </c>
      <c r="W54" s="30">
        <f>2986191841</f>
        <v>2986191841</v>
      </c>
      <c r="X54" s="34">
        <f>20</f>
        <v>20</v>
      </c>
    </row>
    <row r="55" spans="1:24">
      <c r="A55" s="25" t="s">
        <v>1237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2532</f>
        <v>2532</v>
      </c>
      <c r="L55" s="32" t="s">
        <v>1110</v>
      </c>
      <c r="M55" s="31">
        <f>2649</f>
        <v>2649</v>
      </c>
      <c r="N55" s="32" t="s">
        <v>875</v>
      </c>
      <c r="O55" s="31">
        <f>2525</f>
        <v>2525</v>
      </c>
      <c r="P55" s="32" t="s">
        <v>674</v>
      </c>
      <c r="Q55" s="31">
        <f>2556</f>
        <v>2556</v>
      </c>
      <c r="R55" s="32" t="s">
        <v>883</v>
      </c>
      <c r="S55" s="33">
        <f>2571.8</f>
        <v>2571.8000000000002</v>
      </c>
      <c r="T55" s="30">
        <f>20072</f>
        <v>20072</v>
      </c>
      <c r="U55" s="30">
        <f>9854</f>
        <v>9854</v>
      </c>
      <c r="V55" s="30">
        <f>51524649</f>
        <v>51524649</v>
      </c>
      <c r="W55" s="30">
        <f>25174065</f>
        <v>25174065</v>
      </c>
      <c r="X55" s="34">
        <f>20</f>
        <v>20</v>
      </c>
    </row>
    <row r="56" spans="1:24">
      <c r="A56" s="25" t="s">
        <v>1237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3625</f>
        <v>3625</v>
      </c>
      <c r="L56" s="32" t="s">
        <v>1110</v>
      </c>
      <c r="M56" s="31">
        <f>3775</f>
        <v>3775</v>
      </c>
      <c r="N56" s="32" t="s">
        <v>677</v>
      </c>
      <c r="O56" s="31">
        <f>3615</f>
        <v>3615</v>
      </c>
      <c r="P56" s="32" t="s">
        <v>1110</v>
      </c>
      <c r="Q56" s="31">
        <f>3670</f>
        <v>3670</v>
      </c>
      <c r="R56" s="32" t="s">
        <v>883</v>
      </c>
      <c r="S56" s="33">
        <f>3703.25</f>
        <v>3703.25</v>
      </c>
      <c r="T56" s="30">
        <f>1382350</f>
        <v>1382350</v>
      </c>
      <c r="U56" s="30">
        <f>1114580</f>
        <v>1114580</v>
      </c>
      <c r="V56" s="30">
        <f>5130933727</f>
        <v>5130933727</v>
      </c>
      <c r="W56" s="30">
        <f>4140108862</f>
        <v>4140108862</v>
      </c>
      <c r="X56" s="34">
        <f>20</f>
        <v>20</v>
      </c>
    </row>
    <row r="57" spans="1:24">
      <c r="A57" s="25" t="s">
        <v>1237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35240</f>
        <v>35240</v>
      </c>
      <c r="L57" s="32" t="s">
        <v>1110</v>
      </c>
      <c r="M57" s="31">
        <f>36520</f>
        <v>36520</v>
      </c>
      <c r="N57" s="32" t="s">
        <v>1113</v>
      </c>
      <c r="O57" s="31">
        <f>35240</f>
        <v>35240</v>
      </c>
      <c r="P57" s="32" t="s">
        <v>1110</v>
      </c>
      <c r="Q57" s="31">
        <f>36520</f>
        <v>36520</v>
      </c>
      <c r="R57" s="32" t="s">
        <v>1113</v>
      </c>
      <c r="S57" s="33">
        <f>35880</f>
        <v>35880</v>
      </c>
      <c r="T57" s="30">
        <f>101</f>
        <v>101</v>
      </c>
      <c r="U57" s="30" t="str">
        <f>"－"</f>
        <v>－</v>
      </c>
      <c r="V57" s="30">
        <f>3560520</f>
        <v>3560520</v>
      </c>
      <c r="W57" s="30" t="str">
        <f>"－"</f>
        <v>－</v>
      </c>
      <c r="X57" s="34">
        <f>2</f>
        <v>2</v>
      </c>
    </row>
    <row r="58" spans="1:24">
      <c r="A58" s="25" t="s">
        <v>1237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27320</f>
        <v>27320</v>
      </c>
      <c r="L58" s="32" t="s">
        <v>674</v>
      </c>
      <c r="M58" s="31">
        <f>27705</f>
        <v>27705</v>
      </c>
      <c r="N58" s="32" t="s">
        <v>1113</v>
      </c>
      <c r="O58" s="31">
        <f>26200</f>
        <v>26200</v>
      </c>
      <c r="P58" s="32" t="s">
        <v>1113</v>
      </c>
      <c r="Q58" s="31">
        <f>27010</f>
        <v>27010</v>
      </c>
      <c r="R58" s="32" t="s">
        <v>678</v>
      </c>
      <c r="S58" s="33">
        <f>27430</f>
        <v>27430</v>
      </c>
      <c r="T58" s="30">
        <f>39</f>
        <v>39</v>
      </c>
      <c r="U58" s="30" t="str">
        <f>"－"</f>
        <v>－</v>
      </c>
      <c r="V58" s="30">
        <f>1053920</f>
        <v>1053920</v>
      </c>
      <c r="W58" s="30" t="str">
        <f>"－"</f>
        <v>－</v>
      </c>
      <c r="X58" s="34">
        <f>4</f>
        <v>4</v>
      </c>
    </row>
    <row r="59" spans="1:24">
      <c r="A59" s="25" t="s">
        <v>1237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2811</f>
        <v>2811</v>
      </c>
      <c r="L59" s="32" t="s">
        <v>1110</v>
      </c>
      <c r="M59" s="31">
        <f>2886</f>
        <v>2886</v>
      </c>
      <c r="N59" s="32" t="s">
        <v>677</v>
      </c>
      <c r="O59" s="31">
        <f>2780</f>
        <v>2780</v>
      </c>
      <c r="P59" s="32" t="s">
        <v>1111</v>
      </c>
      <c r="Q59" s="31">
        <f>2806</f>
        <v>2806</v>
      </c>
      <c r="R59" s="32" t="s">
        <v>883</v>
      </c>
      <c r="S59" s="33">
        <f>2829.8</f>
        <v>2829.8</v>
      </c>
      <c r="T59" s="30">
        <f>2112</f>
        <v>2112</v>
      </c>
      <c r="U59" s="30">
        <f>2</f>
        <v>2</v>
      </c>
      <c r="V59" s="30">
        <f>5957637</f>
        <v>5957637</v>
      </c>
      <c r="W59" s="30">
        <f>5694</f>
        <v>5694</v>
      </c>
      <c r="X59" s="34">
        <f>20</f>
        <v>20</v>
      </c>
    </row>
    <row r="60" spans="1:24">
      <c r="A60" s="25" t="s">
        <v>1237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1682</f>
        <v>1682</v>
      </c>
      <c r="L60" s="32" t="s">
        <v>1110</v>
      </c>
      <c r="M60" s="31">
        <f>1687</f>
        <v>1687</v>
      </c>
      <c r="N60" s="32" t="s">
        <v>883</v>
      </c>
      <c r="O60" s="31">
        <f>1656</f>
        <v>1656</v>
      </c>
      <c r="P60" s="32" t="s">
        <v>1117</v>
      </c>
      <c r="Q60" s="31">
        <f>1687</f>
        <v>1687</v>
      </c>
      <c r="R60" s="32" t="s">
        <v>883</v>
      </c>
      <c r="S60" s="33">
        <f>1671.1</f>
        <v>1671.1</v>
      </c>
      <c r="T60" s="30">
        <f>8185761</f>
        <v>8185761</v>
      </c>
      <c r="U60" s="30">
        <f>6321491</f>
        <v>6321491</v>
      </c>
      <c r="V60" s="30">
        <f>13650413838</f>
        <v>13650413838</v>
      </c>
      <c r="W60" s="30">
        <f>10537153171</f>
        <v>10537153171</v>
      </c>
      <c r="X60" s="34">
        <f>20</f>
        <v>20</v>
      </c>
    </row>
    <row r="61" spans="1:24">
      <c r="A61" s="25" t="s">
        <v>1237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2785</f>
        <v>2785</v>
      </c>
      <c r="L61" s="32" t="s">
        <v>1110</v>
      </c>
      <c r="M61" s="31">
        <f>2853</f>
        <v>2853</v>
      </c>
      <c r="N61" s="32" t="s">
        <v>1113</v>
      </c>
      <c r="O61" s="31">
        <f>2758</f>
        <v>2758</v>
      </c>
      <c r="P61" s="32" t="s">
        <v>1111</v>
      </c>
      <c r="Q61" s="31">
        <f>2783</f>
        <v>2783</v>
      </c>
      <c r="R61" s="32" t="s">
        <v>883</v>
      </c>
      <c r="S61" s="33">
        <f>2805.95</f>
        <v>2805.95</v>
      </c>
      <c r="T61" s="30">
        <f>195596</f>
        <v>195596</v>
      </c>
      <c r="U61" s="30" t="str">
        <f>"－"</f>
        <v>－</v>
      </c>
      <c r="V61" s="30">
        <f>543557793</f>
        <v>543557793</v>
      </c>
      <c r="W61" s="30" t="str">
        <f>"－"</f>
        <v>－</v>
      </c>
      <c r="X61" s="34">
        <f>20</f>
        <v>20</v>
      </c>
    </row>
    <row r="62" spans="1:24">
      <c r="A62" s="25" t="s">
        <v>1237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2762.5</f>
        <v>2762.5</v>
      </c>
      <c r="L62" s="32" t="s">
        <v>1110</v>
      </c>
      <c r="M62" s="31">
        <f>2840</f>
        <v>2840</v>
      </c>
      <c r="N62" s="32" t="s">
        <v>1115</v>
      </c>
      <c r="O62" s="31">
        <f>2730.5</f>
        <v>2730.5</v>
      </c>
      <c r="P62" s="32" t="s">
        <v>1111</v>
      </c>
      <c r="Q62" s="31">
        <f>2757.5</f>
        <v>2757.5</v>
      </c>
      <c r="R62" s="32" t="s">
        <v>883</v>
      </c>
      <c r="S62" s="33">
        <f>2784.88</f>
        <v>2784.88</v>
      </c>
      <c r="T62" s="30">
        <f>15860</f>
        <v>15860</v>
      </c>
      <c r="U62" s="30" t="str">
        <f>"－"</f>
        <v>－</v>
      </c>
      <c r="V62" s="30">
        <f>44169095</f>
        <v>44169095</v>
      </c>
      <c r="W62" s="30" t="str">
        <f>"－"</f>
        <v>－</v>
      </c>
      <c r="X62" s="34">
        <f>20</f>
        <v>20</v>
      </c>
    </row>
    <row r="63" spans="1:24">
      <c r="A63" s="25" t="s">
        <v>1237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40280</f>
        <v>40280</v>
      </c>
      <c r="L63" s="32" t="s">
        <v>1124</v>
      </c>
      <c r="M63" s="31">
        <f>41300</f>
        <v>41300</v>
      </c>
      <c r="N63" s="32" t="s">
        <v>677</v>
      </c>
      <c r="O63" s="31">
        <f>40280</f>
        <v>40280</v>
      </c>
      <c r="P63" s="32" t="s">
        <v>1124</v>
      </c>
      <c r="Q63" s="31">
        <f>40790</f>
        <v>40790</v>
      </c>
      <c r="R63" s="32" t="s">
        <v>1123</v>
      </c>
      <c r="S63" s="33">
        <f>40903.33</f>
        <v>40903.33</v>
      </c>
      <c r="T63" s="30">
        <f>14</f>
        <v>14</v>
      </c>
      <c r="U63" s="30" t="str">
        <f>"－"</f>
        <v>－</v>
      </c>
      <c r="V63" s="30">
        <f>566390</f>
        <v>566390</v>
      </c>
      <c r="W63" s="30" t="str">
        <f>"－"</f>
        <v>－</v>
      </c>
      <c r="X63" s="34">
        <f>3</f>
        <v>3</v>
      </c>
    </row>
    <row r="64" spans="1:24">
      <c r="A64" s="25" t="s">
        <v>1237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23705</f>
        <v>23705</v>
      </c>
      <c r="L64" s="32" t="s">
        <v>1110</v>
      </c>
      <c r="M64" s="31">
        <f>24180</f>
        <v>24180</v>
      </c>
      <c r="N64" s="32" t="s">
        <v>875</v>
      </c>
      <c r="O64" s="31">
        <f>23500</f>
        <v>23500</v>
      </c>
      <c r="P64" s="32" t="s">
        <v>883</v>
      </c>
      <c r="Q64" s="31">
        <f>23585</f>
        <v>23585</v>
      </c>
      <c r="R64" s="32" t="s">
        <v>883</v>
      </c>
      <c r="S64" s="33">
        <f>23906.25</f>
        <v>23906.25</v>
      </c>
      <c r="T64" s="30">
        <f>545280</f>
        <v>545280</v>
      </c>
      <c r="U64" s="30">
        <f>488900</f>
        <v>488900</v>
      </c>
      <c r="V64" s="30">
        <f>13063869827</f>
        <v>13063869827</v>
      </c>
      <c r="W64" s="30">
        <f>11721757587</f>
        <v>11721757587</v>
      </c>
      <c r="X64" s="34">
        <f>20</f>
        <v>20</v>
      </c>
    </row>
    <row r="65" spans="1:24">
      <c r="A65" s="25" t="s">
        <v>1237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13030</f>
        <v>13030</v>
      </c>
      <c r="L65" s="32" t="s">
        <v>1110</v>
      </c>
      <c r="M65" s="31">
        <f>13095</f>
        <v>13095</v>
      </c>
      <c r="N65" s="32" t="s">
        <v>674</v>
      </c>
      <c r="O65" s="31">
        <f>12785</f>
        <v>12785</v>
      </c>
      <c r="P65" s="32" t="s">
        <v>1117</v>
      </c>
      <c r="Q65" s="31">
        <f>13055</f>
        <v>13055</v>
      </c>
      <c r="R65" s="32" t="s">
        <v>883</v>
      </c>
      <c r="S65" s="33">
        <f>12939.75</f>
        <v>12939.75</v>
      </c>
      <c r="T65" s="30">
        <f>592786</f>
        <v>592786</v>
      </c>
      <c r="U65" s="30">
        <f>544905</f>
        <v>544905</v>
      </c>
      <c r="V65" s="30">
        <f>7656342731</f>
        <v>7656342731</v>
      </c>
      <c r="W65" s="30">
        <f>7038612766</f>
        <v>7038612766</v>
      </c>
      <c r="X65" s="34">
        <f>20</f>
        <v>20</v>
      </c>
    </row>
    <row r="66" spans="1:24">
      <c r="A66" s="25" t="s">
        <v>1237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1741</f>
        <v>1741</v>
      </c>
      <c r="L66" s="32" t="s">
        <v>1110</v>
      </c>
      <c r="M66" s="31">
        <f>1752</f>
        <v>1752</v>
      </c>
      <c r="N66" s="32" t="s">
        <v>679</v>
      </c>
      <c r="O66" s="31">
        <f>1708</f>
        <v>1708</v>
      </c>
      <c r="P66" s="32" t="s">
        <v>1117</v>
      </c>
      <c r="Q66" s="31">
        <f>1727</f>
        <v>1727</v>
      </c>
      <c r="R66" s="32" t="s">
        <v>883</v>
      </c>
      <c r="S66" s="33">
        <f>1734.55</f>
        <v>1734.55</v>
      </c>
      <c r="T66" s="30">
        <f>5782874</f>
        <v>5782874</v>
      </c>
      <c r="U66" s="30">
        <f>4247372</f>
        <v>4247372</v>
      </c>
      <c r="V66" s="30">
        <f>10007910968</f>
        <v>10007910968</v>
      </c>
      <c r="W66" s="30">
        <f>7347100681</f>
        <v>7347100681</v>
      </c>
      <c r="X66" s="34">
        <f>20</f>
        <v>20</v>
      </c>
    </row>
    <row r="67" spans="1:24">
      <c r="A67" s="25" t="s">
        <v>1237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2220</f>
        <v>2220</v>
      </c>
      <c r="L67" s="32" t="s">
        <v>1110</v>
      </c>
      <c r="M67" s="31">
        <f>2301</f>
        <v>2301</v>
      </c>
      <c r="N67" s="32" t="s">
        <v>1115</v>
      </c>
      <c r="O67" s="31">
        <f>2202</f>
        <v>2202</v>
      </c>
      <c r="P67" s="32" t="s">
        <v>1114</v>
      </c>
      <c r="Q67" s="31">
        <f>2224</f>
        <v>2224</v>
      </c>
      <c r="R67" s="32" t="s">
        <v>883</v>
      </c>
      <c r="S67" s="33">
        <f>2251.85</f>
        <v>2251.85</v>
      </c>
      <c r="T67" s="30">
        <f>10139433</f>
        <v>10139433</v>
      </c>
      <c r="U67" s="30">
        <f>1535769</f>
        <v>1535769</v>
      </c>
      <c r="V67" s="30">
        <f>22859171019</f>
        <v>22859171019</v>
      </c>
      <c r="W67" s="30">
        <f>3459436337</f>
        <v>3459436337</v>
      </c>
      <c r="X67" s="34">
        <f>20</f>
        <v>20</v>
      </c>
    </row>
    <row r="68" spans="1:24">
      <c r="A68" s="25" t="s">
        <v>1237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 t="str">
        <f>"－"</f>
        <v>－</v>
      </c>
      <c r="L68" s="32"/>
      <c r="M68" s="31" t="str">
        <f>"－"</f>
        <v>－</v>
      </c>
      <c r="N68" s="32"/>
      <c r="O68" s="31" t="str">
        <f>"－"</f>
        <v>－</v>
      </c>
      <c r="P68" s="32"/>
      <c r="Q68" s="31" t="str">
        <f>"－"</f>
        <v>－</v>
      </c>
      <c r="R68" s="32"/>
      <c r="S68" s="33" t="str">
        <f t="shared" ref="S68:X68" si="0">"－"</f>
        <v>－</v>
      </c>
      <c r="T68" s="30" t="str">
        <f t="shared" si="0"/>
        <v>－</v>
      </c>
      <c r="U68" s="30" t="str">
        <f t="shared" si="0"/>
        <v>－</v>
      </c>
      <c r="V68" s="30" t="str">
        <f t="shared" si="0"/>
        <v>－</v>
      </c>
      <c r="W68" s="30" t="str">
        <f t="shared" si="0"/>
        <v>－</v>
      </c>
      <c r="X68" s="34" t="str">
        <f t="shared" si="0"/>
        <v>－</v>
      </c>
    </row>
    <row r="69" spans="1:24">
      <c r="A69" s="25" t="s">
        <v>1237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19205</f>
        <v>19205</v>
      </c>
      <c r="L69" s="32" t="s">
        <v>1110</v>
      </c>
      <c r="M69" s="31">
        <f>20000</f>
        <v>20000</v>
      </c>
      <c r="N69" s="32" t="s">
        <v>679</v>
      </c>
      <c r="O69" s="31">
        <f>19100</f>
        <v>19100</v>
      </c>
      <c r="P69" s="32" t="s">
        <v>1110</v>
      </c>
      <c r="Q69" s="31">
        <f>19810</f>
        <v>19810</v>
      </c>
      <c r="R69" s="32" t="s">
        <v>883</v>
      </c>
      <c r="S69" s="33">
        <f>19649.75</f>
        <v>19649.75</v>
      </c>
      <c r="T69" s="30">
        <f>3759</f>
        <v>3759</v>
      </c>
      <c r="U69" s="30">
        <f>4</f>
        <v>4</v>
      </c>
      <c r="V69" s="30">
        <f>74239730</f>
        <v>74239730</v>
      </c>
      <c r="W69" s="30">
        <f>79110</f>
        <v>79110</v>
      </c>
      <c r="X69" s="34">
        <f>20</f>
        <v>20</v>
      </c>
    </row>
    <row r="70" spans="1:24">
      <c r="A70" s="25" t="s">
        <v>1237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30220</f>
        <v>30220</v>
      </c>
      <c r="L70" s="32" t="s">
        <v>1110</v>
      </c>
      <c r="M70" s="31">
        <f>31500</f>
        <v>31500</v>
      </c>
      <c r="N70" s="32" t="s">
        <v>676</v>
      </c>
      <c r="O70" s="31">
        <f>30160</f>
        <v>30160</v>
      </c>
      <c r="P70" s="32" t="s">
        <v>1110</v>
      </c>
      <c r="Q70" s="31">
        <f>30900</f>
        <v>30900</v>
      </c>
      <c r="R70" s="32" t="s">
        <v>883</v>
      </c>
      <c r="S70" s="33">
        <f>30926</f>
        <v>30926</v>
      </c>
      <c r="T70" s="30">
        <f>27613</f>
        <v>27613</v>
      </c>
      <c r="U70" s="30">
        <f>2602</f>
        <v>2602</v>
      </c>
      <c r="V70" s="30">
        <f>852481890</f>
        <v>852481890</v>
      </c>
      <c r="W70" s="30">
        <f>80699500</f>
        <v>80699500</v>
      </c>
      <c r="X70" s="34">
        <f>20</f>
        <v>20</v>
      </c>
    </row>
    <row r="71" spans="1:24">
      <c r="A71" s="25" t="s">
        <v>1237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10580</f>
        <v>10580</v>
      </c>
      <c r="L71" s="32" t="s">
        <v>1110</v>
      </c>
      <c r="M71" s="31">
        <f>10670</f>
        <v>10670</v>
      </c>
      <c r="N71" s="32" t="s">
        <v>1110</v>
      </c>
      <c r="O71" s="31">
        <f>10120</f>
        <v>10120</v>
      </c>
      <c r="P71" s="32" t="s">
        <v>883</v>
      </c>
      <c r="Q71" s="31">
        <f>10165</f>
        <v>10165</v>
      </c>
      <c r="R71" s="32" t="s">
        <v>883</v>
      </c>
      <c r="S71" s="33">
        <f>10346.5</f>
        <v>10346.5</v>
      </c>
      <c r="T71" s="30">
        <f>7360</f>
        <v>7360</v>
      </c>
      <c r="U71" s="30">
        <f>10</f>
        <v>10</v>
      </c>
      <c r="V71" s="30">
        <f>76093500</f>
        <v>76093500</v>
      </c>
      <c r="W71" s="30">
        <f>105600</f>
        <v>105600</v>
      </c>
      <c r="X71" s="34">
        <f>20</f>
        <v>20</v>
      </c>
    </row>
    <row r="72" spans="1:24">
      <c r="A72" s="25" t="s">
        <v>1237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1802</f>
        <v>1802</v>
      </c>
      <c r="L72" s="32" t="s">
        <v>1110</v>
      </c>
      <c r="M72" s="31">
        <f>1819</f>
        <v>1819</v>
      </c>
      <c r="N72" s="32" t="s">
        <v>677</v>
      </c>
      <c r="O72" s="31">
        <f>1784</f>
        <v>1784</v>
      </c>
      <c r="P72" s="32" t="s">
        <v>1117</v>
      </c>
      <c r="Q72" s="31">
        <f>1816</f>
        <v>1816</v>
      </c>
      <c r="R72" s="32" t="s">
        <v>883</v>
      </c>
      <c r="S72" s="33">
        <f>1801.3</f>
        <v>1801.3</v>
      </c>
      <c r="T72" s="30">
        <f>876195</f>
        <v>876195</v>
      </c>
      <c r="U72" s="30">
        <f>469000</f>
        <v>469000</v>
      </c>
      <c r="V72" s="30">
        <f>1571959120</f>
        <v>1571959120</v>
      </c>
      <c r="W72" s="30">
        <f>839663200</f>
        <v>839663200</v>
      </c>
      <c r="X72" s="34">
        <f>20</f>
        <v>20</v>
      </c>
    </row>
    <row r="73" spans="1:24">
      <c r="A73" s="25" t="s">
        <v>1237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1851</f>
        <v>1851</v>
      </c>
      <c r="L73" s="32" t="s">
        <v>1110</v>
      </c>
      <c r="M73" s="31">
        <f>1873</f>
        <v>1873</v>
      </c>
      <c r="N73" s="32" t="s">
        <v>684</v>
      </c>
      <c r="O73" s="31">
        <f>1848</f>
        <v>1848</v>
      </c>
      <c r="P73" s="32" t="s">
        <v>1110</v>
      </c>
      <c r="Q73" s="31">
        <f>1867</f>
        <v>1867</v>
      </c>
      <c r="R73" s="32" t="s">
        <v>883</v>
      </c>
      <c r="S73" s="33">
        <f>1861</f>
        <v>1861</v>
      </c>
      <c r="T73" s="30">
        <f>213169</f>
        <v>213169</v>
      </c>
      <c r="U73" s="30" t="str">
        <f>"－"</f>
        <v>－</v>
      </c>
      <c r="V73" s="30">
        <f>396457096</f>
        <v>396457096</v>
      </c>
      <c r="W73" s="30" t="str">
        <f>"－"</f>
        <v>－</v>
      </c>
      <c r="X73" s="34">
        <f>20</f>
        <v>20</v>
      </c>
    </row>
    <row r="74" spans="1:24">
      <c r="A74" s="25" t="s">
        <v>1237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21170</f>
        <v>21170</v>
      </c>
      <c r="L74" s="32" t="s">
        <v>1110</v>
      </c>
      <c r="M74" s="31">
        <f>23000</f>
        <v>23000</v>
      </c>
      <c r="N74" s="32" t="s">
        <v>1113</v>
      </c>
      <c r="O74" s="31">
        <f>21080</f>
        <v>21080</v>
      </c>
      <c r="P74" s="32" t="s">
        <v>674</v>
      </c>
      <c r="Q74" s="31">
        <f>21470</f>
        <v>21470</v>
      </c>
      <c r="R74" s="32" t="s">
        <v>883</v>
      </c>
      <c r="S74" s="33">
        <f>21659.5</f>
        <v>21659.5</v>
      </c>
      <c r="T74" s="30">
        <f>7067</f>
        <v>7067</v>
      </c>
      <c r="U74" s="30">
        <f>1</f>
        <v>1</v>
      </c>
      <c r="V74" s="30">
        <f>153311905</f>
        <v>153311905</v>
      </c>
      <c r="W74" s="30">
        <f>21795</f>
        <v>21795</v>
      </c>
      <c r="X74" s="34">
        <f>20</f>
        <v>20</v>
      </c>
    </row>
    <row r="75" spans="1:24">
      <c r="A75" s="25" t="s">
        <v>1237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9297</f>
        <v>9297</v>
      </c>
      <c r="L75" s="32" t="s">
        <v>1110</v>
      </c>
      <c r="M75" s="31">
        <f>9335</f>
        <v>9335</v>
      </c>
      <c r="N75" s="32" t="s">
        <v>1110</v>
      </c>
      <c r="O75" s="31">
        <f>9125</f>
        <v>9125</v>
      </c>
      <c r="P75" s="32" t="s">
        <v>1124</v>
      </c>
      <c r="Q75" s="31">
        <f>9263</f>
        <v>9263</v>
      </c>
      <c r="R75" s="32" t="s">
        <v>883</v>
      </c>
      <c r="S75" s="33">
        <f>9272.7</f>
        <v>9272.7000000000007</v>
      </c>
      <c r="T75" s="30">
        <f>2118</f>
        <v>2118</v>
      </c>
      <c r="U75" s="30">
        <f>28</f>
        <v>28</v>
      </c>
      <c r="V75" s="30">
        <f>19551985</f>
        <v>19551985</v>
      </c>
      <c r="W75" s="30">
        <f>258631</f>
        <v>258631</v>
      </c>
      <c r="X75" s="34">
        <f>20</f>
        <v>20</v>
      </c>
    </row>
    <row r="76" spans="1:24">
      <c r="A76" s="25" t="s">
        <v>1237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12645</f>
        <v>12645</v>
      </c>
      <c r="L76" s="32" t="s">
        <v>1110</v>
      </c>
      <c r="M76" s="31">
        <f>12760</f>
        <v>12760</v>
      </c>
      <c r="N76" s="32" t="s">
        <v>1124</v>
      </c>
      <c r="O76" s="31">
        <f>11985</f>
        <v>11985</v>
      </c>
      <c r="P76" s="32" t="s">
        <v>678</v>
      </c>
      <c r="Q76" s="31">
        <f>12085</f>
        <v>12085</v>
      </c>
      <c r="R76" s="32" t="s">
        <v>883</v>
      </c>
      <c r="S76" s="33">
        <f>12328.5</f>
        <v>12328.5</v>
      </c>
      <c r="T76" s="30">
        <f>5516536</f>
        <v>5516536</v>
      </c>
      <c r="U76" s="30">
        <f>400684</f>
        <v>400684</v>
      </c>
      <c r="V76" s="30">
        <f>68001398653</f>
        <v>68001398653</v>
      </c>
      <c r="W76" s="30">
        <f>4866013833</f>
        <v>4866013833</v>
      </c>
      <c r="X76" s="34">
        <f>20</f>
        <v>20</v>
      </c>
    </row>
    <row r="77" spans="1:24">
      <c r="A77" s="25" t="s">
        <v>1237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4475</f>
        <v>4475</v>
      </c>
      <c r="L77" s="32" t="s">
        <v>1110</v>
      </c>
      <c r="M77" s="31">
        <f>4560</f>
        <v>4560</v>
      </c>
      <c r="N77" s="32" t="s">
        <v>1113</v>
      </c>
      <c r="O77" s="31">
        <f>4185</f>
        <v>4185</v>
      </c>
      <c r="P77" s="32" t="s">
        <v>883</v>
      </c>
      <c r="Q77" s="31">
        <f>4215</f>
        <v>4215</v>
      </c>
      <c r="R77" s="32" t="s">
        <v>883</v>
      </c>
      <c r="S77" s="33">
        <f>4395.75</f>
        <v>4395.75</v>
      </c>
      <c r="T77" s="30">
        <f>446851</f>
        <v>446851</v>
      </c>
      <c r="U77" s="30">
        <f>140</f>
        <v>140</v>
      </c>
      <c r="V77" s="30">
        <f>1956223345</f>
        <v>1956223345</v>
      </c>
      <c r="W77" s="30">
        <f>623750</f>
        <v>623750</v>
      </c>
      <c r="X77" s="34">
        <f>20</f>
        <v>20</v>
      </c>
    </row>
    <row r="78" spans="1:24">
      <c r="A78" s="25" t="s">
        <v>1237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14650</f>
        <v>14650</v>
      </c>
      <c r="L78" s="32" t="s">
        <v>1110</v>
      </c>
      <c r="M78" s="31">
        <f>14805</f>
        <v>14805</v>
      </c>
      <c r="N78" s="32" t="s">
        <v>1110</v>
      </c>
      <c r="O78" s="31">
        <f>13315</f>
        <v>13315</v>
      </c>
      <c r="P78" s="32" t="s">
        <v>1114</v>
      </c>
      <c r="Q78" s="31">
        <f>13670</f>
        <v>13670</v>
      </c>
      <c r="R78" s="32" t="s">
        <v>883</v>
      </c>
      <c r="S78" s="33">
        <f>14124</f>
        <v>14124</v>
      </c>
      <c r="T78" s="30">
        <f>412209</f>
        <v>412209</v>
      </c>
      <c r="U78" s="30">
        <f>119</f>
        <v>119</v>
      </c>
      <c r="V78" s="30">
        <f>5814809985</f>
        <v>5814809985</v>
      </c>
      <c r="W78" s="30">
        <f>1670050</f>
        <v>1670050</v>
      </c>
      <c r="X78" s="34">
        <f>20</f>
        <v>20</v>
      </c>
    </row>
    <row r="79" spans="1:24">
      <c r="A79" s="25" t="s">
        <v>1237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50200</f>
        <v>50200</v>
      </c>
      <c r="L79" s="32" t="s">
        <v>1110</v>
      </c>
      <c r="M79" s="31">
        <f>50310</f>
        <v>50310</v>
      </c>
      <c r="N79" s="32" t="s">
        <v>1110</v>
      </c>
      <c r="O79" s="31">
        <f>42300</f>
        <v>42300</v>
      </c>
      <c r="P79" s="32" t="s">
        <v>1117</v>
      </c>
      <c r="Q79" s="31">
        <f>44000</f>
        <v>44000</v>
      </c>
      <c r="R79" s="32" t="s">
        <v>883</v>
      </c>
      <c r="S79" s="33">
        <f>45546.5</f>
        <v>45546.5</v>
      </c>
      <c r="T79" s="30">
        <f>29731</f>
        <v>29731</v>
      </c>
      <c r="U79" s="30">
        <f>7</f>
        <v>7</v>
      </c>
      <c r="V79" s="30">
        <f>1354561760</f>
        <v>1354561760</v>
      </c>
      <c r="W79" s="30">
        <f>308900</f>
        <v>308900</v>
      </c>
      <c r="X79" s="34">
        <f>20</f>
        <v>20</v>
      </c>
    </row>
    <row r="80" spans="1:24">
      <c r="A80" s="25" t="s">
        <v>1237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30650</f>
        <v>30650</v>
      </c>
      <c r="L80" s="32" t="s">
        <v>1110</v>
      </c>
      <c r="M80" s="31">
        <f>33180</f>
        <v>33180</v>
      </c>
      <c r="N80" s="32" t="s">
        <v>1117</v>
      </c>
      <c r="O80" s="31">
        <f>30600</f>
        <v>30600</v>
      </c>
      <c r="P80" s="32" t="s">
        <v>1110</v>
      </c>
      <c r="Q80" s="31">
        <f>31620</f>
        <v>31620</v>
      </c>
      <c r="R80" s="32" t="s">
        <v>883</v>
      </c>
      <c r="S80" s="33">
        <f>32242</f>
        <v>32242</v>
      </c>
      <c r="T80" s="30">
        <f>889629</f>
        <v>889629</v>
      </c>
      <c r="U80" s="30">
        <f>24668</f>
        <v>24668</v>
      </c>
      <c r="V80" s="30">
        <f>28661193558</f>
        <v>28661193558</v>
      </c>
      <c r="W80" s="30">
        <f>801273538</f>
        <v>801273538</v>
      </c>
      <c r="X80" s="34">
        <f>20</f>
        <v>20</v>
      </c>
    </row>
    <row r="81" spans="1:24">
      <c r="A81" s="25" t="s">
        <v>1237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61800</f>
        <v>61800</v>
      </c>
      <c r="L81" s="32" t="s">
        <v>1110</v>
      </c>
      <c r="M81" s="31">
        <f>67110</f>
        <v>67110</v>
      </c>
      <c r="N81" s="32" t="s">
        <v>676</v>
      </c>
      <c r="O81" s="31">
        <f>61740</f>
        <v>61740</v>
      </c>
      <c r="P81" s="32" t="s">
        <v>1110</v>
      </c>
      <c r="Q81" s="31">
        <f>65550</f>
        <v>65550</v>
      </c>
      <c r="R81" s="32" t="s">
        <v>883</v>
      </c>
      <c r="S81" s="33">
        <f>65509.5</f>
        <v>65509.5</v>
      </c>
      <c r="T81" s="30">
        <f>117148</f>
        <v>117148</v>
      </c>
      <c r="U81" s="30">
        <f>16002</f>
        <v>16002</v>
      </c>
      <c r="V81" s="30">
        <f>7704614600</f>
        <v>7704614600</v>
      </c>
      <c r="W81" s="30">
        <f>1048207390</f>
        <v>1048207390</v>
      </c>
      <c r="X81" s="34">
        <f>20</f>
        <v>20</v>
      </c>
    </row>
    <row r="82" spans="1:24">
      <c r="A82" s="25" t="s">
        <v>1237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9475</f>
        <v>9475</v>
      </c>
      <c r="L82" s="32" t="s">
        <v>1110</v>
      </c>
      <c r="M82" s="31">
        <f>10210</f>
        <v>10210</v>
      </c>
      <c r="N82" s="32" t="s">
        <v>1117</v>
      </c>
      <c r="O82" s="31">
        <f>9471</f>
        <v>9471</v>
      </c>
      <c r="P82" s="32" t="s">
        <v>1110</v>
      </c>
      <c r="Q82" s="31">
        <f>9922</f>
        <v>9922</v>
      </c>
      <c r="R82" s="32" t="s">
        <v>883</v>
      </c>
      <c r="S82" s="33">
        <f>9978.05</f>
        <v>9978.0499999999993</v>
      </c>
      <c r="T82" s="30">
        <f>1558770</f>
        <v>1558770</v>
      </c>
      <c r="U82" s="30">
        <f>667940</f>
        <v>667940</v>
      </c>
      <c r="V82" s="30">
        <f>15494274456</f>
        <v>15494274456</v>
      </c>
      <c r="W82" s="30">
        <f>6654469156</f>
        <v>6654469156</v>
      </c>
      <c r="X82" s="34">
        <f>20</f>
        <v>20</v>
      </c>
    </row>
    <row r="83" spans="1:24">
      <c r="A83" s="25" t="s">
        <v>1237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5790</f>
        <v>5790</v>
      </c>
      <c r="L83" s="32" t="s">
        <v>1110</v>
      </c>
      <c r="M83" s="31">
        <f>6146</f>
        <v>6146</v>
      </c>
      <c r="N83" s="32" t="s">
        <v>1117</v>
      </c>
      <c r="O83" s="31">
        <f>5778</f>
        <v>5778</v>
      </c>
      <c r="P83" s="32" t="s">
        <v>1110</v>
      </c>
      <c r="Q83" s="31">
        <f>5993</f>
        <v>5993</v>
      </c>
      <c r="R83" s="32" t="s">
        <v>883</v>
      </c>
      <c r="S83" s="33">
        <f>6041.1</f>
        <v>6041.1</v>
      </c>
      <c r="T83" s="30">
        <f>216360</f>
        <v>216360</v>
      </c>
      <c r="U83" s="30">
        <f>59590</f>
        <v>59590</v>
      </c>
      <c r="V83" s="30">
        <f>1302421239</f>
        <v>1302421239</v>
      </c>
      <c r="W83" s="30">
        <f>358448199</f>
        <v>358448199</v>
      </c>
      <c r="X83" s="34">
        <f>20</f>
        <v>20</v>
      </c>
    </row>
    <row r="84" spans="1:24">
      <c r="A84" s="25" t="s">
        <v>1237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4913</f>
        <v>4913</v>
      </c>
      <c r="L84" s="32" t="s">
        <v>1110</v>
      </c>
      <c r="M84" s="31">
        <f>5150</f>
        <v>5150</v>
      </c>
      <c r="N84" s="32" t="s">
        <v>677</v>
      </c>
      <c r="O84" s="31">
        <f>4901</f>
        <v>4901</v>
      </c>
      <c r="P84" s="32" t="s">
        <v>1110</v>
      </c>
      <c r="Q84" s="31">
        <f>5006</f>
        <v>5006</v>
      </c>
      <c r="R84" s="32" t="s">
        <v>883</v>
      </c>
      <c r="S84" s="33">
        <f>4987.37</f>
        <v>4987.37</v>
      </c>
      <c r="T84" s="30">
        <f>3770</f>
        <v>3770</v>
      </c>
      <c r="U84" s="30">
        <f>130</f>
        <v>130</v>
      </c>
      <c r="V84" s="30">
        <f>18820990</f>
        <v>18820990</v>
      </c>
      <c r="W84" s="30">
        <f>650380</f>
        <v>650380</v>
      </c>
      <c r="X84" s="34">
        <f>19</f>
        <v>19</v>
      </c>
    </row>
    <row r="85" spans="1:24">
      <c r="A85" s="25" t="s">
        <v>1237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4790</f>
        <v>4790</v>
      </c>
      <c r="L85" s="32" t="s">
        <v>1110</v>
      </c>
      <c r="M85" s="31">
        <f>5054</f>
        <v>5054</v>
      </c>
      <c r="N85" s="32" t="s">
        <v>1117</v>
      </c>
      <c r="O85" s="31">
        <f>4778</f>
        <v>4778</v>
      </c>
      <c r="P85" s="32" t="s">
        <v>1110</v>
      </c>
      <c r="Q85" s="31">
        <f>4903</f>
        <v>4903</v>
      </c>
      <c r="R85" s="32" t="s">
        <v>883</v>
      </c>
      <c r="S85" s="33">
        <f>4972.75</f>
        <v>4972.75</v>
      </c>
      <c r="T85" s="30">
        <f>86850</f>
        <v>86850</v>
      </c>
      <c r="U85" s="30" t="str">
        <f>"－"</f>
        <v>－</v>
      </c>
      <c r="V85" s="30">
        <f>430863400</f>
        <v>430863400</v>
      </c>
      <c r="W85" s="30" t="str">
        <f>"－"</f>
        <v>－</v>
      </c>
      <c r="X85" s="34">
        <f>20</f>
        <v>20</v>
      </c>
    </row>
    <row r="86" spans="1:24">
      <c r="A86" s="25" t="s">
        <v>1237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2369.5</f>
        <v>2369.5</v>
      </c>
      <c r="L86" s="32" t="s">
        <v>1110</v>
      </c>
      <c r="M86" s="31">
        <f>2463</f>
        <v>2463</v>
      </c>
      <c r="N86" s="32" t="s">
        <v>679</v>
      </c>
      <c r="O86" s="31">
        <f>2341</f>
        <v>2341</v>
      </c>
      <c r="P86" s="32" t="s">
        <v>1115</v>
      </c>
      <c r="Q86" s="31">
        <f>2386</f>
        <v>2386</v>
      </c>
      <c r="R86" s="32" t="s">
        <v>883</v>
      </c>
      <c r="S86" s="33">
        <f>2400.83</f>
        <v>2400.83</v>
      </c>
      <c r="T86" s="30">
        <f>46680</f>
        <v>46680</v>
      </c>
      <c r="U86" s="30" t="str">
        <f>"－"</f>
        <v>－</v>
      </c>
      <c r="V86" s="30">
        <f>112404100</f>
        <v>112404100</v>
      </c>
      <c r="W86" s="30" t="str">
        <f>"－"</f>
        <v>－</v>
      </c>
      <c r="X86" s="34">
        <f>20</f>
        <v>20</v>
      </c>
    </row>
    <row r="87" spans="1:24">
      <c r="A87" s="25" t="s">
        <v>1237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86570</f>
        <v>86570</v>
      </c>
      <c r="L87" s="32" t="s">
        <v>1110</v>
      </c>
      <c r="M87" s="31">
        <f>93260</f>
        <v>93260</v>
      </c>
      <c r="N87" s="32" t="s">
        <v>1117</v>
      </c>
      <c r="O87" s="31">
        <f>86500</f>
        <v>86500</v>
      </c>
      <c r="P87" s="32" t="s">
        <v>1110</v>
      </c>
      <c r="Q87" s="31">
        <f>90080</f>
        <v>90080</v>
      </c>
      <c r="R87" s="32" t="s">
        <v>883</v>
      </c>
      <c r="S87" s="33">
        <f>91114</f>
        <v>91114</v>
      </c>
      <c r="T87" s="30">
        <f>95397</f>
        <v>95397</v>
      </c>
      <c r="U87" s="30">
        <f>220</f>
        <v>220</v>
      </c>
      <c r="V87" s="30">
        <f>8660305646</f>
        <v>8660305646</v>
      </c>
      <c r="W87" s="30">
        <f>19943726</f>
        <v>19943726</v>
      </c>
      <c r="X87" s="34">
        <f>20</f>
        <v>20</v>
      </c>
    </row>
    <row r="88" spans="1:24">
      <c r="A88" s="25" t="s">
        <v>1237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3770</f>
        <v>3770</v>
      </c>
      <c r="L88" s="32" t="s">
        <v>1110</v>
      </c>
      <c r="M88" s="31">
        <f>4400</f>
        <v>4400</v>
      </c>
      <c r="N88" s="32" t="s">
        <v>1113</v>
      </c>
      <c r="O88" s="31">
        <f>3595</f>
        <v>3595</v>
      </c>
      <c r="P88" s="32" t="s">
        <v>875</v>
      </c>
      <c r="Q88" s="31">
        <f>3695</f>
        <v>3695</v>
      </c>
      <c r="R88" s="32" t="s">
        <v>883</v>
      </c>
      <c r="S88" s="33">
        <f>3812.5</f>
        <v>3812.5</v>
      </c>
      <c r="T88" s="30">
        <f>86708</f>
        <v>86708</v>
      </c>
      <c r="U88" s="30" t="str">
        <f>"－"</f>
        <v>－</v>
      </c>
      <c r="V88" s="30">
        <f>344846790</f>
        <v>344846790</v>
      </c>
      <c r="W88" s="30" t="str">
        <f>"－"</f>
        <v>－</v>
      </c>
      <c r="X88" s="34">
        <f>20</f>
        <v>20</v>
      </c>
    </row>
    <row r="89" spans="1:24">
      <c r="A89" s="25" t="s">
        <v>1237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5370</f>
        <v>5370</v>
      </c>
      <c r="L89" s="32" t="s">
        <v>1110</v>
      </c>
      <c r="M89" s="31">
        <f>6840</f>
        <v>6840</v>
      </c>
      <c r="N89" s="32" t="s">
        <v>1113</v>
      </c>
      <c r="O89" s="31">
        <f>5130</f>
        <v>5130</v>
      </c>
      <c r="P89" s="32" t="s">
        <v>875</v>
      </c>
      <c r="Q89" s="31">
        <f>5250</f>
        <v>5250</v>
      </c>
      <c r="R89" s="32" t="s">
        <v>883</v>
      </c>
      <c r="S89" s="33">
        <f>5438</f>
        <v>5438</v>
      </c>
      <c r="T89" s="30">
        <f>58200</f>
        <v>58200</v>
      </c>
      <c r="U89" s="30" t="str">
        <f>"－"</f>
        <v>－</v>
      </c>
      <c r="V89" s="30">
        <f>332089820</f>
        <v>332089820</v>
      </c>
      <c r="W89" s="30" t="str">
        <f>"－"</f>
        <v>－</v>
      </c>
      <c r="X89" s="34">
        <f>20</f>
        <v>20</v>
      </c>
    </row>
    <row r="90" spans="1:24">
      <c r="A90" s="25" t="s">
        <v>1237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2307</f>
        <v>2307</v>
      </c>
      <c r="L90" s="32" t="s">
        <v>1110</v>
      </c>
      <c r="M90" s="31">
        <f>2410</f>
        <v>2410</v>
      </c>
      <c r="N90" s="32" t="s">
        <v>677</v>
      </c>
      <c r="O90" s="31">
        <f>2251</f>
        <v>2251</v>
      </c>
      <c r="P90" s="32" t="s">
        <v>1111</v>
      </c>
      <c r="Q90" s="31">
        <f>2359</f>
        <v>2359</v>
      </c>
      <c r="R90" s="32" t="s">
        <v>883</v>
      </c>
      <c r="S90" s="33">
        <f>2312.75</f>
        <v>2312.75</v>
      </c>
      <c r="T90" s="30">
        <f>597859</f>
        <v>597859</v>
      </c>
      <c r="U90" s="30">
        <f>230</f>
        <v>230</v>
      </c>
      <c r="V90" s="30">
        <f>1388465101</f>
        <v>1388465101</v>
      </c>
      <c r="W90" s="30">
        <f>525965</f>
        <v>525965</v>
      </c>
      <c r="X90" s="34">
        <f>20</f>
        <v>20</v>
      </c>
    </row>
    <row r="91" spans="1:24">
      <c r="A91" s="25" t="s">
        <v>1237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49600</f>
        <v>49600</v>
      </c>
      <c r="L91" s="32" t="s">
        <v>1110</v>
      </c>
      <c r="M91" s="31">
        <f>49990</f>
        <v>49990</v>
      </c>
      <c r="N91" s="32" t="s">
        <v>1110</v>
      </c>
      <c r="O91" s="31">
        <f>48020</f>
        <v>48020</v>
      </c>
      <c r="P91" s="32" t="s">
        <v>883</v>
      </c>
      <c r="Q91" s="31">
        <f>48240</f>
        <v>48240</v>
      </c>
      <c r="R91" s="32" t="s">
        <v>883</v>
      </c>
      <c r="S91" s="33">
        <f>49240.5</f>
        <v>49240.5</v>
      </c>
      <c r="T91" s="30">
        <f>27028</f>
        <v>27028</v>
      </c>
      <c r="U91" s="30">
        <f>10449</f>
        <v>10449</v>
      </c>
      <c r="V91" s="30">
        <f>1330412044</f>
        <v>1330412044</v>
      </c>
      <c r="W91" s="30">
        <f>511360784</f>
        <v>511360784</v>
      </c>
      <c r="X91" s="34">
        <f>20</f>
        <v>20</v>
      </c>
    </row>
    <row r="92" spans="1:24">
      <c r="A92" s="25" t="s">
        <v>1237</v>
      </c>
      <c r="B92" s="25" t="s">
        <v>259</v>
      </c>
      <c r="C92" s="25" t="s">
        <v>260</v>
      </c>
      <c r="D92" s="25" t="s">
        <v>261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439.7</f>
        <v>439.7</v>
      </c>
      <c r="L92" s="32" t="s">
        <v>1110</v>
      </c>
      <c r="M92" s="31">
        <f>480</f>
        <v>480</v>
      </c>
      <c r="N92" s="32" t="s">
        <v>1113</v>
      </c>
      <c r="O92" s="31">
        <f>435.1</f>
        <v>435.1</v>
      </c>
      <c r="P92" s="32" t="s">
        <v>1110</v>
      </c>
      <c r="Q92" s="31">
        <f>447</f>
        <v>447</v>
      </c>
      <c r="R92" s="32" t="s">
        <v>883</v>
      </c>
      <c r="S92" s="33">
        <f>455.84</f>
        <v>455.84</v>
      </c>
      <c r="T92" s="30">
        <f>108840920</f>
        <v>108840920</v>
      </c>
      <c r="U92" s="30">
        <f>300</f>
        <v>300</v>
      </c>
      <c r="V92" s="30">
        <f>49747490008</f>
        <v>49747490008</v>
      </c>
      <c r="W92" s="30">
        <f>136500</f>
        <v>136500</v>
      </c>
      <c r="X92" s="34">
        <f>20</f>
        <v>20</v>
      </c>
    </row>
    <row r="93" spans="1:24">
      <c r="A93" s="25" t="s">
        <v>1237</v>
      </c>
      <c r="B93" s="25" t="s">
        <v>262</v>
      </c>
      <c r="C93" s="25" t="s">
        <v>263</v>
      </c>
      <c r="D93" s="25" t="s">
        <v>264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1278.5</f>
        <v>1278.5</v>
      </c>
      <c r="L93" s="32" t="s">
        <v>1110</v>
      </c>
      <c r="M93" s="31">
        <f>1284</f>
        <v>1284</v>
      </c>
      <c r="N93" s="32" t="s">
        <v>1110</v>
      </c>
      <c r="O93" s="31">
        <f>1222</f>
        <v>1222</v>
      </c>
      <c r="P93" s="32" t="s">
        <v>677</v>
      </c>
      <c r="Q93" s="31">
        <f>1265</f>
        <v>1265</v>
      </c>
      <c r="R93" s="32" t="s">
        <v>883</v>
      </c>
      <c r="S93" s="33">
        <f>1255.25</f>
        <v>1255.25</v>
      </c>
      <c r="T93" s="30">
        <f>1487650</f>
        <v>1487650</v>
      </c>
      <c r="U93" s="30">
        <f>14210</f>
        <v>14210</v>
      </c>
      <c r="V93" s="30">
        <f>1857964190</f>
        <v>1857964190</v>
      </c>
      <c r="W93" s="30">
        <f>17847630</f>
        <v>17847630</v>
      </c>
      <c r="X93" s="34">
        <f>20</f>
        <v>20</v>
      </c>
    </row>
    <row r="94" spans="1:24">
      <c r="A94" s="25" t="s">
        <v>1237</v>
      </c>
      <c r="B94" s="25" t="s">
        <v>265</v>
      </c>
      <c r="C94" s="25" t="s">
        <v>266</v>
      </c>
      <c r="D94" s="25" t="s">
        <v>267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26015</f>
        <v>26015</v>
      </c>
      <c r="L94" s="32" t="s">
        <v>1110</v>
      </c>
      <c r="M94" s="31">
        <f>28290</f>
        <v>28290</v>
      </c>
      <c r="N94" s="32" t="s">
        <v>1115</v>
      </c>
      <c r="O94" s="31">
        <f>25320</f>
        <v>25320</v>
      </c>
      <c r="P94" s="32" t="s">
        <v>1114</v>
      </c>
      <c r="Q94" s="31">
        <f>25815</f>
        <v>25815</v>
      </c>
      <c r="R94" s="32" t="s">
        <v>883</v>
      </c>
      <c r="S94" s="33">
        <f>26491.75</f>
        <v>26491.75</v>
      </c>
      <c r="T94" s="30">
        <f>104885084</f>
        <v>104885084</v>
      </c>
      <c r="U94" s="30">
        <f>409961</f>
        <v>409961</v>
      </c>
      <c r="V94" s="30">
        <f>2794590501935</f>
        <v>2794590501935</v>
      </c>
      <c r="W94" s="30">
        <f>10794030565</f>
        <v>10794030565</v>
      </c>
      <c r="X94" s="34">
        <f>20</f>
        <v>20</v>
      </c>
    </row>
    <row r="95" spans="1:24">
      <c r="A95" s="25" t="s">
        <v>1237</v>
      </c>
      <c r="B95" s="25" t="s">
        <v>268</v>
      </c>
      <c r="C95" s="25" t="s">
        <v>269</v>
      </c>
      <c r="D95" s="25" t="s">
        <v>270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595</f>
        <v>595</v>
      </c>
      <c r="L95" s="32" t="s">
        <v>1110</v>
      </c>
      <c r="M95" s="31">
        <f>601</f>
        <v>601</v>
      </c>
      <c r="N95" s="32" t="s">
        <v>1114</v>
      </c>
      <c r="O95" s="31">
        <f>569</f>
        <v>569</v>
      </c>
      <c r="P95" s="32" t="s">
        <v>1115</v>
      </c>
      <c r="Q95" s="31">
        <f>594</f>
        <v>594</v>
      </c>
      <c r="R95" s="32" t="s">
        <v>883</v>
      </c>
      <c r="S95" s="33">
        <f>587.6</f>
        <v>587.6</v>
      </c>
      <c r="T95" s="30">
        <f>17778421</f>
        <v>17778421</v>
      </c>
      <c r="U95" s="30">
        <f>277142</f>
        <v>277142</v>
      </c>
      <c r="V95" s="30">
        <f>10429446513</f>
        <v>10429446513</v>
      </c>
      <c r="W95" s="30">
        <f>161966065</f>
        <v>161966065</v>
      </c>
      <c r="X95" s="34">
        <f>20</f>
        <v>20</v>
      </c>
    </row>
    <row r="96" spans="1:24">
      <c r="A96" s="25" t="s">
        <v>1237</v>
      </c>
      <c r="B96" s="25" t="s">
        <v>271</v>
      </c>
      <c r="C96" s="25" t="s">
        <v>272</v>
      </c>
      <c r="D96" s="25" t="s">
        <v>273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5569</f>
        <v>5569</v>
      </c>
      <c r="L96" s="32" t="s">
        <v>1110</v>
      </c>
      <c r="M96" s="31">
        <f>6233</f>
        <v>6233</v>
      </c>
      <c r="N96" s="32" t="s">
        <v>1113</v>
      </c>
      <c r="O96" s="31">
        <f>4800</f>
        <v>4800</v>
      </c>
      <c r="P96" s="32" t="s">
        <v>676</v>
      </c>
      <c r="Q96" s="31">
        <f>4841</f>
        <v>4841</v>
      </c>
      <c r="R96" s="32" t="s">
        <v>883</v>
      </c>
      <c r="S96" s="33">
        <f>5317.75</f>
        <v>5317.75</v>
      </c>
      <c r="T96" s="30">
        <f>655340</f>
        <v>655340</v>
      </c>
      <c r="U96" s="30" t="str">
        <f>"－"</f>
        <v>－</v>
      </c>
      <c r="V96" s="30">
        <f>3512222640</f>
        <v>3512222640</v>
      </c>
      <c r="W96" s="30" t="str">
        <f>"－"</f>
        <v>－</v>
      </c>
      <c r="X96" s="34">
        <f>20</f>
        <v>20</v>
      </c>
    </row>
    <row r="97" spans="1:24">
      <c r="A97" s="25" t="s">
        <v>1237</v>
      </c>
      <c r="B97" s="25" t="s">
        <v>274</v>
      </c>
      <c r="C97" s="25" t="s">
        <v>275</v>
      </c>
      <c r="D97" s="25" t="s">
        <v>276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9943</f>
        <v>9943</v>
      </c>
      <c r="L97" s="32" t="s">
        <v>1110</v>
      </c>
      <c r="M97" s="31">
        <f>10895</f>
        <v>10895</v>
      </c>
      <c r="N97" s="32" t="s">
        <v>676</v>
      </c>
      <c r="O97" s="31">
        <f>9501</f>
        <v>9501</v>
      </c>
      <c r="P97" s="32" t="s">
        <v>1113</v>
      </c>
      <c r="Q97" s="31">
        <f>10400</f>
        <v>10400</v>
      </c>
      <c r="R97" s="32" t="s">
        <v>883</v>
      </c>
      <c r="S97" s="33">
        <f>10364.85</f>
        <v>10364.85</v>
      </c>
      <c r="T97" s="30">
        <f>123760</f>
        <v>123760</v>
      </c>
      <c r="U97" s="30">
        <f>110</f>
        <v>110</v>
      </c>
      <c r="V97" s="30">
        <f>1269920880</f>
        <v>1269920880</v>
      </c>
      <c r="W97" s="30">
        <f>1138800</f>
        <v>1138800</v>
      </c>
      <c r="X97" s="34">
        <f>20</f>
        <v>20</v>
      </c>
    </row>
    <row r="98" spans="1:24">
      <c r="A98" s="25" t="s">
        <v>1237</v>
      </c>
      <c r="B98" s="25" t="s">
        <v>277</v>
      </c>
      <c r="C98" s="25" t="s">
        <v>278</v>
      </c>
      <c r="D98" s="25" t="s">
        <v>972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36580</f>
        <v>36580</v>
      </c>
      <c r="L98" s="32" t="s">
        <v>1110</v>
      </c>
      <c r="M98" s="31">
        <f>38390</f>
        <v>38390</v>
      </c>
      <c r="N98" s="32" t="s">
        <v>1115</v>
      </c>
      <c r="O98" s="31">
        <f>36450</f>
        <v>36450</v>
      </c>
      <c r="P98" s="32" t="s">
        <v>1110</v>
      </c>
      <c r="Q98" s="31">
        <f>37340</f>
        <v>37340</v>
      </c>
      <c r="R98" s="32" t="s">
        <v>883</v>
      </c>
      <c r="S98" s="33">
        <f>37609.5</f>
        <v>37609.5</v>
      </c>
      <c r="T98" s="30">
        <f>188351</f>
        <v>188351</v>
      </c>
      <c r="U98" s="30">
        <f>139324</f>
        <v>139324</v>
      </c>
      <c r="V98" s="30">
        <f>7100484084</f>
        <v>7100484084</v>
      </c>
      <c r="W98" s="30">
        <f>5253120064</f>
        <v>5253120064</v>
      </c>
      <c r="X98" s="34">
        <f>20</f>
        <v>20</v>
      </c>
    </row>
    <row r="99" spans="1:24">
      <c r="A99" s="25" t="s">
        <v>1237</v>
      </c>
      <c r="B99" s="25" t="s">
        <v>279</v>
      </c>
      <c r="C99" s="25" t="s">
        <v>280</v>
      </c>
      <c r="D99" s="25" t="s">
        <v>281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3075</f>
        <v>3075</v>
      </c>
      <c r="L99" s="32" t="s">
        <v>1110</v>
      </c>
      <c r="M99" s="31">
        <f>3200</f>
        <v>3200</v>
      </c>
      <c r="N99" s="32" t="s">
        <v>1115</v>
      </c>
      <c r="O99" s="31">
        <f>3030</f>
        <v>3030</v>
      </c>
      <c r="P99" s="32" t="s">
        <v>1114</v>
      </c>
      <c r="Q99" s="31">
        <f>3055</f>
        <v>3055</v>
      </c>
      <c r="R99" s="32" t="s">
        <v>883</v>
      </c>
      <c r="S99" s="33">
        <f>3107.25</f>
        <v>3107.25</v>
      </c>
      <c r="T99" s="30">
        <f>63359</f>
        <v>63359</v>
      </c>
      <c r="U99" s="30">
        <f>41</f>
        <v>41</v>
      </c>
      <c r="V99" s="30">
        <f>196372480</f>
        <v>196372480</v>
      </c>
      <c r="W99" s="30">
        <f>128970</f>
        <v>128970</v>
      </c>
      <c r="X99" s="34">
        <f>20</f>
        <v>20</v>
      </c>
    </row>
    <row r="100" spans="1:24">
      <c r="A100" s="25" t="s">
        <v>1237</v>
      </c>
      <c r="B100" s="25" t="s">
        <v>282</v>
      </c>
      <c r="C100" s="25" t="s">
        <v>283</v>
      </c>
      <c r="D100" s="25" t="s">
        <v>284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278.1</f>
        <v>278.10000000000002</v>
      </c>
      <c r="L100" s="32" t="s">
        <v>1110</v>
      </c>
      <c r="M100" s="31">
        <f>303.9</f>
        <v>303.89999999999998</v>
      </c>
      <c r="N100" s="32" t="s">
        <v>1115</v>
      </c>
      <c r="O100" s="31">
        <f>271.7</f>
        <v>271.7</v>
      </c>
      <c r="P100" s="32" t="s">
        <v>1114</v>
      </c>
      <c r="Q100" s="31">
        <f>277.5</f>
        <v>277.5</v>
      </c>
      <c r="R100" s="32" t="s">
        <v>883</v>
      </c>
      <c r="S100" s="33">
        <f>284.48</f>
        <v>284.48</v>
      </c>
      <c r="T100" s="30">
        <f>649042800</f>
        <v>649042800</v>
      </c>
      <c r="U100" s="30">
        <f>10260470</f>
        <v>10260470</v>
      </c>
      <c r="V100" s="30">
        <f>185177701485</f>
        <v>185177701485</v>
      </c>
      <c r="W100" s="30">
        <f>2932346097</f>
        <v>2932346097</v>
      </c>
      <c r="X100" s="34">
        <f>20</f>
        <v>20</v>
      </c>
    </row>
    <row r="101" spans="1:24">
      <c r="A101" s="25" t="s">
        <v>1237</v>
      </c>
      <c r="B101" s="25" t="s">
        <v>285</v>
      </c>
      <c r="C101" s="25" t="s">
        <v>286</v>
      </c>
      <c r="D101" s="25" t="s">
        <v>287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1581.5</f>
        <v>1581.5</v>
      </c>
      <c r="L101" s="32" t="s">
        <v>1110</v>
      </c>
      <c r="M101" s="31">
        <f>1593.5</f>
        <v>1593.5</v>
      </c>
      <c r="N101" s="32" t="s">
        <v>1114</v>
      </c>
      <c r="O101" s="31">
        <f>1511</f>
        <v>1511</v>
      </c>
      <c r="P101" s="32" t="s">
        <v>1115</v>
      </c>
      <c r="Q101" s="31">
        <f>1577</f>
        <v>1577</v>
      </c>
      <c r="R101" s="32" t="s">
        <v>883</v>
      </c>
      <c r="S101" s="33">
        <f>1561.1</f>
        <v>1561.1</v>
      </c>
      <c r="T101" s="30">
        <f>9447680</f>
        <v>9447680</v>
      </c>
      <c r="U101" s="30">
        <f>808950</f>
        <v>808950</v>
      </c>
      <c r="V101" s="30">
        <f>14687869103</f>
        <v>14687869103</v>
      </c>
      <c r="W101" s="30">
        <f>1247365153</f>
        <v>1247365153</v>
      </c>
      <c r="X101" s="34">
        <f>20</f>
        <v>20</v>
      </c>
    </row>
    <row r="102" spans="1:24">
      <c r="A102" s="25" t="s">
        <v>1237</v>
      </c>
      <c r="B102" s="25" t="s">
        <v>288</v>
      </c>
      <c r="C102" s="25" t="s">
        <v>922</v>
      </c>
      <c r="D102" s="25" t="s">
        <v>923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1865</f>
        <v>1865</v>
      </c>
      <c r="L102" s="32" t="s">
        <v>1110</v>
      </c>
      <c r="M102" s="31">
        <f>1895</f>
        <v>1895</v>
      </c>
      <c r="N102" s="32" t="s">
        <v>1115</v>
      </c>
      <c r="O102" s="31">
        <f>1815</f>
        <v>1815</v>
      </c>
      <c r="P102" s="32" t="s">
        <v>1114</v>
      </c>
      <c r="Q102" s="31">
        <f>1820</f>
        <v>1820</v>
      </c>
      <c r="R102" s="32" t="s">
        <v>883</v>
      </c>
      <c r="S102" s="33">
        <f>1850.38</f>
        <v>1850.38</v>
      </c>
      <c r="T102" s="30">
        <f>8330</f>
        <v>8330</v>
      </c>
      <c r="U102" s="30" t="str">
        <f>"－"</f>
        <v>－</v>
      </c>
      <c r="V102" s="30">
        <f>15346770</f>
        <v>15346770</v>
      </c>
      <c r="W102" s="30" t="str">
        <f>"－"</f>
        <v>－</v>
      </c>
      <c r="X102" s="34">
        <f>16</f>
        <v>16</v>
      </c>
    </row>
    <row r="103" spans="1:24">
      <c r="A103" s="25" t="s">
        <v>1237</v>
      </c>
      <c r="B103" s="25" t="s">
        <v>289</v>
      </c>
      <c r="C103" s="25" t="s">
        <v>290</v>
      </c>
      <c r="D103" s="25" t="s">
        <v>291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2176</f>
        <v>2176</v>
      </c>
      <c r="L103" s="32" t="s">
        <v>1110</v>
      </c>
      <c r="M103" s="31">
        <f>2202</f>
        <v>2202</v>
      </c>
      <c r="N103" s="32" t="s">
        <v>1115</v>
      </c>
      <c r="O103" s="31">
        <f>2115</f>
        <v>2115</v>
      </c>
      <c r="P103" s="32" t="s">
        <v>1111</v>
      </c>
      <c r="Q103" s="31">
        <f>2130</f>
        <v>2130</v>
      </c>
      <c r="R103" s="32" t="s">
        <v>883</v>
      </c>
      <c r="S103" s="33">
        <f>2153.45</f>
        <v>2153.4499999999998</v>
      </c>
      <c r="T103" s="30">
        <f>1654</f>
        <v>1654</v>
      </c>
      <c r="U103" s="30" t="str">
        <f>"－"</f>
        <v>－</v>
      </c>
      <c r="V103" s="30">
        <f>3589788</f>
        <v>3589788</v>
      </c>
      <c r="W103" s="30" t="str">
        <f>"－"</f>
        <v>－</v>
      </c>
      <c r="X103" s="34">
        <f>20</f>
        <v>20</v>
      </c>
    </row>
    <row r="104" spans="1:24">
      <c r="A104" s="25" t="s">
        <v>1237</v>
      </c>
      <c r="B104" s="25" t="s">
        <v>292</v>
      </c>
      <c r="C104" s="25" t="s">
        <v>293</v>
      </c>
      <c r="D104" s="25" t="s">
        <v>294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24285</f>
        <v>24285</v>
      </c>
      <c r="L104" s="32" t="s">
        <v>1110</v>
      </c>
      <c r="M104" s="31">
        <f>25810</f>
        <v>25810</v>
      </c>
      <c r="N104" s="32" t="s">
        <v>1117</v>
      </c>
      <c r="O104" s="31">
        <f>24165</f>
        <v>24165</v>
      </c>
      <c r="P104" s="32" t="s">
        <v>1110</v>
      </c>
      <c r="Q104" s="31">
        <f>24430</f>
        <v>24430</v>
      </c>
      <c r="R104" s="32" t="s">
        <v>883</v>
      </c>
      <c r="S104" s="33">
        <f>24653</f>
        <v>24653</v>
      </c>
      <c r="T104" s="30">
        <f>87236</f>
        <v>87236</v>
      </c>
      <c r="U104" s="30">
        <f>43437</f>
        <v>43437</v>
      </c>
      <c r="V104" s="30">
        <f>2152251865</f>
        <v>2152251865</v>
      </c>
      <c r="W104" s="30">
        <f>1070048020</f>
        <v>1070048020</v>
      </c>
      <c r="X104" s="34">
        <f>20</f>
        <v>20</v>
      </c>
    </row>
    <row r="105" spans="1:24">
      <c r="A105" s="25" t="s">
        <v>1237</v>
      </c>
      <c r="B105" s="25" t="s">
        <v>295</v>
      </c>
      <c r="C105" s="25" t="s">
        <v>296</v>
      </c>
      <c r="D105" s="25" t="s">
        <v>297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2270</f>
        <v>2270</v>
      </c>
      <c r="L105" s="32" t="s">
        <v>1110</v>
      </c>
      <c r="M105" s="31">
        <f>2338</f>
        <v>2338</v>
      </c>
      <c r="N105" s="32" t="s">
        <v>677</v>
      </c>
      <c r="O105" s="31">
        <f>2233</f>
        <v>2233</v>
      </c>
      <c r="P105" s="32" t="s">
        <v>1110</v>
      </c>
      <c r="Q105" s="31">
        <f>2263</f>
        <v>2263</v>
      </c>
      <c r="R105" s="32" t="s">
        <v>883</v>
      </c>
      <c r="S105" s="33">
        <f>2279</f>
        <v>2279</v>
      </c>
      <c r="T105" s="30">
        <f>91127</f>
        <v>91127</v>
      </c>
      <c r="U105" s="30">
        <f>7</f>
        <v>7</v>
      </c>
      <c r="V105" s="30">
        <f>208588994</f>
        <v>208588994</v>
      </c>
      <c r="W105" s="30">
        <f>15404</f>
        <v>15404</v>
      </c>
      <c r="X105" s="34">
        <f>20</f>
        <v>20</v>
      </c>
    </row>
    <row r="106" spans="1:24">
      <c r="A106" s="25" t="s">
        <v>1237</v>
      </c>
      <c r="B106" s="25" t="s">
        <v>298</v>
      </c>
      <c r="C106" s="25" t="s">
        <v>299</v>
      </c>
      <c r="D106" s="25" t="s">
        <v>300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25570</f>
        <v>25570</v>
      </c>
      <c r="L106" s="32" t="s">
        <v>1110</v>
      </c>
      <c r="M106" s="31">
        <f>26155</f>
        <v>26155</v>
      </c>
      <c r="N106" s="32" t="s">
        <v>677</v>
      </c>
      <c r="O106" s="31">
        <f>24995</f>
        <v>24995</v>
      </c>
      <c r="P106" s="32" t="s">
        <v>1110</v>
      </c>
      <c r="Q106" s="31">
        <f>25340</f>
        <v>25340</v>
      </c>
      <c r="R106" s="32" t="s">
        <v>883</v>
      </c>
      <c r="S106" s="33">
        <f>25573</f>
        <v>25573</v>
      </c>
      <c r="T106" s="30">
        <f>16536</f>
        <v>16536</v>
      </c>
      <c r="U106" s="30">
        <f>780</f>
        <v>780</v>
      </c>
      <c r="V106" s="30">
        <f>422243263</f>
        <v>422243263</v>
      </c>
      <c r="W106" s="30">
        <f>19866288</f>
        <v>19866288</v>
      </c>
      <c r="X106" s="34">
        <f>20</f>
        <v>20</v>
      </c>
    </row>
    <row r="107" spans="1:24">
      <c r="A107" s="25" t="s">
        <v>1237</v>
      </c>
      <c r="B107" s="25" t="s">
        <v>301</v>
      </c>
      <c r="C107" s="25" t="s">
        <v>302</v>
      </c>
      <c r="D107" s="25" t="s">
        <v>303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1713</f>
        <v>1713</v>
      </c>
      <c r="L107" s="32" t="s">
        <v>1110</v>
      </c>
      <c r="M107" s="31">
        <f>1725.5</f>
        <v>1725.5</v>
      </c>
      <c r="N107" s="32" t="s">
        <v>1124</v>
      </c>
      <c r="O107" s="31">
        <f>1685</f>
        <v>1685</v>
      </c>
      <c r="P107" s="32" t="s">
        <v>1117</v>
      </c>
      <c r="Q107" s="31">
        <f>1704.5</f>
        <v>1704.5</v>
      </c>
      <c r="R107" s="32" t="s">
        <v>883</v>
      </c>
      <c r="S107" s="33">
        <f>1709.83</f>
        <v>1709.83</v>
      </c>
      <c r="T107" s="30">
        <f>4707770</f>
        <v>4707770</v>
      </c>
      <c r="U107" s="30">
        <f>4040590</f>
        <v>4040590</v>
      </c>
      <c r="V107" s="30">
        <f>8010756321</f>
        <v>8010756321</v>
      </c>
      <c r="W107" s="30">
        <f>6872057251</f>
        <v>6872057251</v>
      </c>
      <c r="X107" s="34">
        <f>20</f>
        <v>20</v>
      </c>
    </row>
    <row r="108" spans="1:24">
      <c r="A108" s="25" t="s">
        <v>1237</v>
      </c>
      <c r="B108" s="25" t="s">
        <v>304</v>
      </c>
      <c r="C108" s="25" t="s">
        <v>305</v>
      </c>
      <c r="D108" s="25" t="s">
        <v>306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2257.5</f>
        <v>2257.5</v>
      </c>
      <c r="L108" s="32" t="s">
        <v>680</v>
      </c>
      <c r="M108" s="31">
        <f>2257.5</f>
        <v>2257.5</v>
      </c>
      <c r="N108" s="32" t="s">
        <v>680</v>
      </c>
      <c r="O108" s="31">
        <f>2257.5</f>
        <v>2257.5</v>
      </c>
      <c r="P108" s="32" t="s">
        <v>680</v>
      </c>
      <c r="Q108" s="31">
        <f>2257.5</f>
        <v>2257.5</v>
      </c>
      <c r="R108" s="32" t="s">
        <v>680</v>
      </c>
      <c r="S108" s="33">
        <f>2257.5</f>
        <v>2257.5</v>
      </c>
      <c r="T108" s="30">
        <f>10</f>
        <v>10</v>
      </c>
      <c r="U108" s="30" t="str">
        <f>"－"</f>
        <v>－</v>
      </c>
      <c r="V108" s="30">
        <f>22575</f>
        <v>22575</v>
      </c>
      <c r="W108" s="30" t="str">
        <f>"－"</f>
        <v>－</v>
      </c>
      <c r="X108" s="34">
        <f>1</f>
        <v>1</v>
      </c>
    </row>
    <row r="109" spans="1:24">
      <c r="A109" s="25" t="s">
        <v>1237</v>
      </c>
      <c r="B109" s="25" t="s">
        <v>307</v>
      </c>
      <c r="C109" s="25" t="s">
        <v>308</v>
      </c>
      <c r="D109" s="25" t="s">
        <v>309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1732</f>
        <v>1732</v>
      </c>
      <c r="L109" s="32" t="s">
        <v>1110</v>
      </c>
      <c r="M109" s="31">
        <f>1743</f>
        <v>1743</v>
      </c>
      <c r="N109" s="32" t="s">
        <v>679</v>
      </c>
      <c r="O109" s="31">
        <f>1701</f>
        <v>1701</v>
      </c>
      <c r="P109" s="32" t="s">
        <v>1117</v>
      </c>
      <c r="Q109" s="31">
        <f>1719.5</f>
        <v>1719.5</v>
      </c>
      <c r="R109" s="32" t="s">
        <v>883</v>
      </c>
      <c r="S109" s="33">
        <f>1727.1</f>
        <v>1727.1</v>
      </c>
      <c r="T109" s="30">
        <f>2209320</f>
        <v>2209320</v>
      </c>
      <c r="U109" s="30">
        <f>938990</f>
        <v>938990</v>
      </c>
      <c r="V109" s="30">
        <f>3814308615</f>
        <v>3814308615</v>
      </c>
      <c r="W109" s="30">
        <f>1622657710</f>
        <v>1622657710</v>
      </c>
      <c r="X109" s="34">
        <f>20</f>
        <v>20</v>
      </c>
    </row>
    <row r="110" spans="1:24">
      <c r="A110" s="25" t="s">
        <v>1237</v>
      </c>
      <c r="B110" s="25" t="s">
        <v>310</v>
      </c>
      <c r="C110" s="25" t="s">
        <v>924</v>
      </c>
      <c r="D110" s="25" t="s">
        <v>925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</v>
      </c>
      <c r="K110" s="31">
        <f>25000</f>
        <v>25000</v>
      </c>
      <c r="L110" s="32" t="s">
        <v>1110</v>
      </c>
      <c r="M110" s="31">
        <f>25855</f>
        <v>25855</v>
      </c>
      <c r="N110" s="32" t="s">
        <v>677</v>
      </c>
      <c r="O110" s="31">
        <f>24785</f>
        <v>24785</v>
      </c>
      <c r="P110" s="32" t="s">
        <v>1111</v>
      </c>
      <c r="Q110" s="31">
        <f>24955</f>
        <v>24955</v>
      </c>
      <c r="R110" s="32" t="s">
        <v>883</v>
      </c>
      <c r="S110" s="33">
        <f>25272.81</f>
        <v>25272.81</v>
      </c>
      <c r="T110" s="30">
        <f>1358</f>
        <v>1358</v>
      </c>
      <c r="U110" s="30" t="str">
        <f>"－"</f>
        <v>－</v>
      </c>
      <c r="V110" s="30">
        <f>34239650</f>
        <v>34239650</v>
      </c>
      <c r="W110" s="30" t="str">
        <f>"－"</f>
        <v>－</v>
      </c>
      <c r="X110" s="34">
        <f>16</f>
        <v>16</v>
      </c>
    </row>
    <row r="111" spans="1:24">
      <c r="A111" s="25" t="s">
        <v>1237</v>
      </c>
      <c r="B111" s="25" t="s">
        <v>1143</v>
      </c>
      <c r="C111" s="25" t="s">
        <v>1142</v>
      </c>
      <c r="D111" s="25" t="s">
        <v>1141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511.8</f>
        <v>511.8</v>
      </c>
      <c r="L111" s="32" t="s">
        <v>1110</v>
      </c>
      <c r="M111" s="31">
        <f>532.3</f>
        <v>532.29999999999995</v>
      </c>
      <c r="N111" s="32" t="s">
        <v>677</v>
      </c>
      <c r="O111" s="31">
        <f>503.7</f>
        <v>503.7</v>
      </c>
      <c r="P111" s="32" t="s">
        <v>678</v>
      </c>
      <c r="Q111" s="31">
        <f>510.7</f>
        <v>510.7</v>
      </c>
      <c r="R111" s="32" t="s">
        <v>883</v>
      </c>
      <c r="S111" s="33">
        <f>517.24</f>
        <v>517.24</v>
      </c>
      <c r="T111" s="30">
        <f>1310240</f>
        <v>1310240</v>
      </c>
      <c r="U111" s="30">
        <f>380000</f>
        <v>380000</v>
      </c>
      <c r="V111" s="30">
        <f>679112658</f>
        <v>679112658</v>
      </c>
      <c r="W111" s="30">
        <f>198170000</f>
        <v>198170000</v>
      </c>
      <c r="X111" s="34">
        <f>20</f>
        <v>20</v>
      </c>
    </row>
    <row r="112" spans="1:24">
      <c r="A112" s="25" t="s">
        <v>1237</v>
      </c>
      <c r="B112" s="25" t="s">
        <v>311</v>
      </c>
      <c r="C112" s="25" t="s">
        <v>312</v>
      </c>
      <c r="D112" s="25" t="s">
        <v>313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100</v>
      </c>
      <c r="K112" s="31">
        <f>332.5</f>
        <v>332.5</v>
      </c>
      <c r="L112" s="32" t="s">
        <v>1110</v>
      </c>
      <c r="M112" s="31">
        <f>383.7</f>
        <v>383.7</v>
      </c>
      <c r="N112" s="32" t="s">
        <v>679</v>
      </c>
      <c r="O112" s="31">
        <f>332.1</f>
        <v>332.1</v>
      </c>
      <c r="P112" s="32" t="s">
        <v>1110</v>
      </c>
      <c r="Q112" s="31">
        <f>375.6</f>
        <v>375.6</v>
      </c>
      <c r="R112" s="32" t="s">
        <v>883</v>
      </c>
      <c r="S112" s="33">
        <f>366.58</f>
        <v>366.58</v>
      </c>
      <c r="T112" s="30">
        <f>152278600</f>
        <v>152278600</v>
      </c>
      <c r="U112" s="30">
        <f>61705200</f>
        <v>61705200</v>
      </c>
      <c r="V112" s="30">
        <f>56288174305</f>
        <v>56288174305</v>
      </c>
      <c r="W112" s="30">
        <f>22902287125</f>
        <v>22902287125</v>
      </c>
      <c r="X112" s="34">
        <f>20</f>
        <v>20</v>
      </c>
    </row>
    <row r="113" spans="1:24">
      <c r="A113" s="25" t="s">
        <v>1237</v>
      </c>
      <c r="B113" s="25" t="s">
        <v>314</v>
      </c>
      <c r="C113" s="25" t="s">
        <v>315</v>
      </c>
      <c r="D113" s="25" t="s">
        <v>316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37840</f>
        <v>37840</v>
      </c>
      <c r="L113" s="32" t="s">
        <v>1110</v>
      </c>
      <c r="M113" s="31">
        <f>38500</f>
        <v>38500</v>
      </c>
      <c r="N113" s="32" t="s">
        <v>1113</v>
      </c>
      <c r="O113" s="31">
        <f>37180</f>
        <v>37180</v>
      </c>
      <c r="P113" s="32" t="s">
        <v>1111</v>
      </c>
      <c r="Q113" s="31">
        <f>37710</f>
        <v>37710</v>
      </c>
      <c r="R113" s="32" t="s">
        <v>883</v>
      </c>
      <c r="S113" s="33">
        <f>37615.5</f>
        <v>37615.5</v>
      </c>
      <c r="T113" s="30">
        <f>3290</f>
        <v>3290</v>
      </c>
      <c r="U113" s="30">
        <f>42</f>
        <v>42</v>
      </c>
      <c r="V113" s="30">
        <f>123990080</f>
        <v>123990080</v>
      </c>
      <c r="W113" s="30">
        <f>1582550</f>
        <v>1582550</v>
      </c>
      <c r="X113" s="34">
        <f>20</f>
        <v>20</v>
      </c>
    </row>
    <row r="114" spans="1:24">
      <c r="A114" s="25" t="s">
        <v>1237</v>
      </c>
      <c r="B114" s="25" t="s">
        <v>317</v>
      </c>
      <c r="C114" s="25" t="s">
        <v>318</v>
      </c>
      <c r="D114" s="25" t="s">
        <v>319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21265</f>
        <v>21265</v>
      </c>
      <c r="L114" s="32" t="s">
        <v>1110</v>
      </c>
      <c r="M114" s="31">
        <f>21695</f>
        <v>21695</v>
      </c>
      <c r="N114" s="32" t="s">
        <v>1115</v>
      </c>
      <c r="O114" s="31">
        <f>20605</f>
        <v>20605</v>
      </c>
      <c r="P114" s="32" t="s">
        <v>677</v>
      </c>
      <c r="Q114" s="31">
        <f>21125</f>
        <v>21125</v>
      </c>
      <c r="R114" s="32" t="s">
        <v>883</v>
      </c>
      <c r="S114" s="33">
        <f>21087</f>
        <v>21087</v>
      </c>
      <c r="T114" s="30">
        <f>16954</f>
        <v>16954</v>
      </c>
      <c r="U114" s="30">
        <f>42</f>
        <v>42</v>
      </c>
      <c r="V114" s="30">
        <f>356442955</f>
        <v>356442955</v>
      </c>
      <c r="W114" s="30">
        <f>880665</f>
        <v>880665</v>
      </c>
      <c r="X114" s="34">
        <f>20</f>
        <v>20</v>
      </c>
    </row>
    <row r="115" spans="1:24">
      <c r="A115" s="25" t="s">
        <v>1237</v>
      </c>
      <c r="B115" s="25" t="s">
        <v>320</v>
      </c>
      <c r="C115" s="25" t="s">
        <v>321</v>
      </c>
      <c r="D115" s="25" t="s">
        <v>322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30040</f>
        <v>30040</v>
      </c>
      <c r="L115" s="32" t="s">
        <v>1110</v>
      </c>
      <c r="M115" s="31">
        <f>31300</f>
        <v>31300</v>
      </c>
      <c r="N115" s="32" t="s">
        <v>1113</v>
      </c>
      <c r="O115" s="31">
        <f>30000</f>
        <v>30000</v>
      </c>
      <c r="P115" s="32" t="s">
        <v>674</v>
      </c>
      <c r="Q115" s="31">
        <f>30740</f>
        <v>30740</v>
      </c>
      <c r="R115" s="32" t="s">
        <v>883</v>
      </c>
      <c r="S115" s="33">
        <f>30691</f>
        <v>30691</v>
      </c>
      <c r="T115" s="30">
        <f>3084</f>
        <v>3084</v>
      </c>
      <c r="U115" s="30" t="str">
        <f>"－"</f>
        <v>－</v>
      </c>
      <c r="V115" s="30">
        <f>94799970</f>
        <v>94799970</v>
      </c>
      <c r="W115" s="30" t="str">
        <f>"－"</f>
        <v>－</v>
      </c>
      <c r="X115" s="34">
        <f>20</f>
        <v>20</v>
      </c>
    </row>
    <row r="116" spans="1:24">
      <c r="A116" s="25" t="s">
        <v>1237</v>
      </c>
      <c r="B116" s="25" t="s">
        <v>323</v>
      </c>
      <c r="C116" s="25" t="s">
        <v>324</v>
      </c>
      <c r="D116" s="25" t="s">
        <v>325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29995</f>
        <v>29995</v>
      </c>
      <c r="L116" s="32" t="s">
        <v>1110</v>
      </c>
      <c r="M116" s="31">
        <f>31080</f>
        <v>31080</v>
      </c>
      <c r="N116" s="32" t="s">
        <v>1113</v>
      </c>
      <c r="O116" s="31">
        <f>29080</f>
        <v>29080</v>
      </c>
      <c r="P116" s="32" t="s">
        <v>1112</v>
      </c>
      <c r="Q116" s="31">
        <f>29380</f>
        <v>29380</v>
      </c>
      <c r="R116" s="32" t="s">
        <v>883</v>
      </c>
      <c r="S116" s="33">
        <f>29781.75</f>
        <v>29781.75</v>
      </c>
      <c r="T116" s="30">
        <f>8492</f>
        <v>8492</v>
      </c>
      <c r="U116" s="30">
        <f>48</f>
        <v>48</v>
      </c>
      <c r="V116" s="30">
        <f>252359002</f>
        <v>252359002</v>
      </c>
      <c r="W116" s="30">
        <f>1405532</f>
        <v>1405532</v>
      </c>
      <c r="X116" s="34">
        <f>20</f>
        <v>20</v>
      </c>
    </row>
    <row r="117" spans="1:24">
      <c r="A117" s="25" t="s">
        <v>1237</v>
      </c>
      <c r="B117" s="25" t="s">
        <v>326</v>
      </c>
      <c r="C117" s="25" t="s">
        <v>327</v>
      </c>
      <c r="D117" s="25" t="s">
        <v>328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29420</f>
        <v>29420</v>
      </c>
      <c r="L117" s="32" t="s">
        <v>1110</v>
      </c>
      <c r="M117" s="31">
        <f>30100</f>
        <v>30100</v>
      </c>
      <c r="N117" s="32" t="s">
        <v>674</v>
      </c>
      <c r="O117" s="31">
        <f>27400</f>
        <v>27400</v>
      </c>
      <c r="P117" s="32" t="s">
        <v>676</v>
      </c>
      <c r="Q117" s="31">
        <f>28095</f>
        <v>28095</v>
      </c>
      <c r="R117" s="32" t="s">
        <v>883</v>
      </c>
      <c r="S117" s="33">
        <f>28629.5</f>
        <v>28629.5</v>
      </c>
      <c r="T117" s="30">
        <f>12364</f>
        <v>12364</v>
      </c>
      <c r="U117" s="30">
        <f>39</f>
        <v>39</v>
      </c>
      <c r="V117" s="30">
        <f>351468362</f>
        <v>351468362</v>
      </c>
      <c r="W117" s="30">
        <f>1142302</f>
        <v>1142302</v>
      </c>
      <c r="X117" s="34">
        <f>20</f>
        <v>20</v>
      </c>
    </row>
    <row r="118" spans="1:24">
      <c r="A118" s="25" t="s">
        <v>1237</v>
      </c>
      <c r="B118" s="25" t="s">
        <v>329</v>
      </c>
      <c r="C118" s="25" t="s">
        <v>330</v>
      </c>
      <c r="D118" s="25" t="s">
        <v>331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29005</f>
        <v>29005</v>
      </c>
      <c r="L118" s="32" t="s">
        <v>1110</v>
      </c>
      <c r="M118" s="31">
        <f>30190</f>
        <v>30190</v>
      </c>
      <c r="N118" s="32" t="s">
        <v>1115</v>
      </c>
      <c r="O118" s="31">
        <f>27875</f>
        <v>27875</v>
      </c>
      <c r="P118" s="32" t="s">
        <v>1114</v>
      </c>
      <c r="Q118" s="31">
        <f>28055</f>
        <v>28055</v>
      </c>
      <c r="R118" s="32" t="s">
        <v>883</v>
      </c>
      <c r="S118" s="33">
        <f>29116</f>
        <v>29116</v>
      </c>
      <c r="T118" s="30">
        <f>20074</f>
        <v>20074</v>
      </c>
      <c r="U118" s="30">
        <f>108</f>
        <v>108</v>
      </c>
      <c r="V118" s="30">
        <f>583387252</f>
        <v>583387252</v>
      </c>
      <c r="W118" s="30">
        <f>3178447</f>
        <v>3178447</v>
      </c>
      <c r="X118" s="34">
        <f>20</f>
        <v>20</v>
      </c>
    </row>
    <row r="119" spans="1:24">
      <c r="A119" s="25" t="s">
        <v>1237</v>
      </c>
      <c r="B119" s="25" t="s">
        <v>332</v>
      </c>
      <c r="C119" s="25" t="s">
        <v>333</v>
      </c>
      <c r="D119" s="25" t="s">
        <v>334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25730</f>
        <v>25730</v>
      </c>
      <c r="L119" s="32" t="s">
        <v>1110</v>
      </c>
      <c r="M119" s="31">
        <f>27915</f>
        <v>27915</v>
      </c>
      <c r="N119" s="32" t="s">
        <v>1113</v>
      </c>
      <c r="O119" s="31">
        <f>25730</f>
        <v>25730</v>
      </c>
      <c r="P119" s="32" t="s">
        <v>1110</v>
      </c>
      <c r="Q119" s="31">
        <f>26380</f>
        <v>26380</v>
      </c>
      <c r="R119" s="32" t="s">
        <v>883</v>
      </c>
      <c r="S119" s="33">
        <f>26690</f>
        <v>26690</v>
      </c>
      <c r="T119" s="30">
        <f>6578</f>
        <v>6578</v>
      </c>
      <c r="U119" s="30" t="str">
        <f>"－"</f>
        <v>－</v>
      </c>
      <c r="V119" s="30">
        <f>177233875</f>
        <v>177233875</v>
      </c>
      <c r="W119" s="30" t="str">
        <f>"－"</f>
        <v>－</v>
      </c>
      <c r="X119" s="34">
        <f>20</f>
        <v>20</v>
      </c>
    </row>
    <row r="120" spans="1:24">
      <c r="A120" s="25" t="s">
        <v>1237</v>
      </c>
      <c r="B120" s="25" t="s">
        <v>335</v>
      </c>
      <c r="C120" s="25" t="s">
        <v>336</v>
      </c>
      <c r="D120" s="25" t="s">
        <v>337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56250</f>
        <v>56250</v>
      </c>
      <c r="L120" s="32" t="s">
        <v>1110</v>
      </c>
      <c r="M120" s="31">
        <f>60400</f>
        <v>60400</v>
      </c>
      <c r="N120" s="32" t="s">
        <v>679</v>
      </c>
      <c r="O120" s="31">
        <f>55840</f>
        <v>55840</v>
      </c>
      <c r="P120" s="32" t="s">
        <v>1110</v>
      </c>
      <c r="Q120" s="31">
        <f>56310</f>
        <v>56310</v>
      </c>
      <c r="R120" s="32" t="s">
        <v>883</v>
      </c>
      <c r="S120" s="33">
        <f>57997.5</f>
        <v>57997.5</v>
      </c>
      <c r="T120" s="30">
        <f>20218</f>
        <v>20218</v>
      </c>
      <c r="U120" s="30">
        <f>48</f>
        <v>48</v>
      </c>
      <c r="V120" s="30">
        <f>1189773910</f>
        <v>1189773910</v>
      </c>
      <c r="W120" s="30">
        <f>2832830</f>
        <v>2832830</v>
      </c>
      <c r="X120" s="34">
        <f>20</f>
        <v>20</v>
      </c>
    </row>
    <row r="121" spans="1:24">
      <c r="A121" s="25" t="s">
        <v>1237</v>
      </c>
      <c r="B121" s="25" t="s">
        <v>338</v>
      </c>
      <c r="C121" s="25" t="s">
        <v>339</v>
      </c>
      <c r="D121" s="25" t="s">
        <v>340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37150</f>
        <v>37150</v>
      </c>
      <c r="L121" s="32" t="s">
        <v>1110</v>
      </c>
      <c r="M121" s="31">
        <f>38920</f>
        <v>38920</v>
      </c>
      <c r="N121" s="32" t="s">
        <v>684</v>
      </c>
      <c r="O121" s="31">
        <f>36520</f>
        <v>36520</v>
      </c>
      <c r="P121" s="32" t="s">
        <v>676</v>
      </c>
      <c r="Q121" s="31">
        <f>36640</f>
        <v>36640</v>
      </c>
      <c r="R121" s="32" t="s">
        <v>883</v>
      </c>
      <c r="S121" s="33">
        <f>37448</f>
        <v>37448</v>
      </c>
      <c r="T121" s="30">
        <f>9001</f>
        <v>9001</v>
      </c>
      <c r="U121" s="30">
        <f>79</f>
        <v>79</v>
      </c>
      <c r="V121" s="30">
        <f>337543510</f>
        <v>337543510</v>
      </c>
      <c r="W121" s="30">
        <f>2961570</f>
        <v>2961570</v>
      </c>
      <c r="X121" s="34">
        <f>20</f>
        <v>20</v>
      </c>
    </row>
    <row r="122" spans="1:24">
      <c r="A122" s="25" t="s">
        <v>1237</v>
      </c>
      <c r="B122" s="25" t="s">
        <v>341</v>
      </c>
      <c r="C122" s="25" t="s">
        <v>342</v>
      </c>
      <c r="D122" s="25" t="s">
        <v>343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35140</f>
        <v>35140</v>
      </c>
      <c r="L122" s="32" t="s">
        <v>1110</v>
      </c>
      <c r="M122" s="31">
        <f>37120</f>
        <v>37120</v>
      </c>
      <c r="N122" s="32" t="s">
        <v>677</v>
      </c>
      <c r="O122" s="31">
        <f>34800</f>
        <v>34800</v>
      </c>
      <c r="P122" s="32" t="s">
        <v>674</v>
      </c>
      <c r="Q122" s="31">
        <f>36450</f>
        <v>36450</v>
      </c>
      <c r="R122" s="32" t="s">
        <v>883</v>
      </c>
      <c r="S122" s="33">
        <f>35944</f>
        <v>35944</v>
      </c>
      <c r="T122" s="30">
        <f>3406</f>
        <v>3406</v>
      </c>
      <c r="U122" s="30">
        <f>5</f>
        <v>5</v>
      </c>
      <c r="V122" s="30">
        <f>122471230</f>
        <v>122471230</v>
      </c>
      <c r="W122" s="30">
        <f>179390</f>
        <v>179390</v>
      </c>
      <c r="X122" s="34">
        <f>20</f>
        <v>20</v>
      </c>
    </row>
    <row r="123" spans="1:24">
      <c r="A123" s="25" t="s">
        <v>1237</v>
      </c>
      <c r="B123" s="25" t="s">
        <v>344</v>
      </c>
      <c r="C123" s="25" t="s">
        <v>345</v>
      </c>
      <c r="D123" s="25" t="s">
        <v>346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9169</f>
        <v>9169</v>
      </c>
      <c r="L123" s="32" t="s">
        <v>1110</v>
      </c>
      <c r="M123" s="31">
        <f>9332</f>
        <v>9332</v>
      </c>
      <c r="N123" s="32" t="s">
        <v>1113</v>
      </c>
      <c r="O123" s="31">
        <f>8391</f>
        <v>8391</v>
      </c>
      <c r="P123" s="32" t="s">
        <v>1111</v>
      </c>
      <c r="Q123" s="31">
        <f>8633</f>
        <v>8633</v>
      </c>
      <c r="R123" s="32" t="s">
        <v>883</v>
      </c>
      <c r="S123" s="33">
        <f>8828.1</f>
        <v>8828.1</v>
      </c>
      <c r="T123" s="30">
        <f>88705</f>
        <v>88705</v>
      </c>
      <c r="U123" s="30">
        <f>15000</f>
        <v>15000</v>
      </c>
      <c r="V123" s="30">
        <f>774576088</f>
        <v>774576088</v>
      </c>
      <c r="W123" s="30">
        <f>128144767</f>
        <v>128144767</v>
      </c>
      <c r="X123" s="34">
        <f>20</f>
        <v>20</v>
      </c>
    </row>
    <row r="124" spans="1:24">
      <c r="A124" s="25" t="s">
        <v>1237</v>
      </c>
      <c r="B124" s="25" t="s">
        <v>347</v>
      </c>
      <c r="C124" s="25" t="s">
        <v>348</v>
      </c>
      <c r="D124" s="25" t="s">
        <v>349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18250</f>
        <v>18250</v>
      </c>
      <c r="L124" s="32" t="s">
        <v>1110</v>
      </c>
      <c r="M124" s="31">
        <f>18950</f>
        <v>18950</v>
      </c>
      <c r="N124" s="32" t="s">
        <v>1123</v>
      </c>
      <c r="O124" s="31">
        <f>18115</f>
        <v>18115</v>
      </c>
      <c r="P124" s="32" t="s">
        <v>1111</v>
      </c>
      <c r="Q124" s="31">
        <f>18300</f>
        <v>18300</v>
      </c>
      <c r="R124" s="32" t="s">
        <v>883</v>
      </c>
      <c r="S124" s="33">
        <f>18412.75</f>
        <v>18412.75</v>
      </c>
      <c r="T124" s="30">
        <f>3899</f>
        <v>3899</v>
      </c>
      <c r="U124" s="30" t="str">
        <f>"－"</f>
        <v>－</v>
      </c>
      <c r="V124" s="30">
        <f>72103865</f>
        <v>72103865</v>
      </c>
      <c r="W124" s="30" t="str">
        <f>"－"</f>
        <v>－</v>
      </c>
      <c r="X124" s="34">
        <f>20</f>
        <v>20</v>
      </c>
    </row>
    <row r="125" spans="1:24">
      <c r="A125" s="25" t="s">
        <v>1237</v>
      </c>
      <c r="B125" s="25" t="s">
        <v>350</v>
      </c>
      <c r="C125" s="25" t="s">
        <v>351</v>
      </c>
      <c r="D125" s="25" t="s">
        <v>352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81770</f>
        <v>81770</v>
      </c>
      <c r="L125" s="32" t="s">
        <v>1110</v>
      </c>
      <c r="M125" s="31">
        <f>85660</f>
        <v>85660</v>
      </c>
      <c r="N125" s="32" t="s">
        <v>1115</v>
      </c>
      <c r="O125" s="31">
        <f>79020</f>
        <v>79020</v>
      </c>
      <c r="P125" s="32" t="s">
        <v>1114</v>
      </c>
      <c r="Q125" s="31">
        <f>79910</f>
        <v>79910</v>
      </c>
      <c r="R125" s="32" t="s">
        <v>883</v>
      </c>
      <c r="S125" s="33">
        <f>82583</f>
        <v>82583</v>
      </c>
      <c r="T125" s="30">
        <f>12083</f>
        <v>12083</v>
      </c>
      <c r="U125" s="30">
        <f>11</f>
        <v>11</v>
      </c>
      <c r="V125" s="30">
        <f>996965980</f>
        <v>996965980</v>
      </c>
      <c r="W125" s="30">
        <f>899050</f>
        <v>899050</v>
      </c>
      <c r="X125" s="34">
        <f>20</f>
        <v>20</v>
      </c>
    </row>
    <row r="126" spans="1:24">
      <c r="A126" s="25" t="s">
        <v>1237</v>
      </c>
      <c r="B126" s="25" t="s">
        <v>1139</v>
      </c>
      <c r="C126" s="25" t="s">
        <v>1138</v>
      </c>
      <c r="D126" s="25" t="s">
        <v>1137</v>
      </c>
      <c r="E126" s="26" t="s">
        <v>43</v>
      </c>
      <c r="F126" s="27" t="s">
        <v>43</v>
      </c>
      <c r="G126" s="28" t="s">
        <v>43</v>
      </c>
      <c r="H126" s="29"/>
      <c r="I126" s="29" t="s">
        <v>465</v>
      </c>
      <c r="J126" s="30">
        <v>1</v>
      </c>
      <c r="K126" s="31">
        <f>10245</f>
        <v>10245</v>
      </c>
      <c r="L126" s="32" t="s">
        <v>1124</v>
      </c>
      <c r="M126" s="31">
        <f>10515</f>
        <v>10515</v>
      </c>
      <c r="N126" s="32" t="s">
        <v>1113</v>
      </c>
      <c r="O126" s="31">
        <f>9894</f>
        <v>9894</v>
      </c>
      <c r="P126" s="32" t="s">
        <v>1111</v>
      </c>
      <c r="Q126" s="31">
        <f>9915</f>
        <v>9915</v>
      </c>
      <c r="R126" s="32" t="s">
        <v>883</v>
      </c>
      <c r="S126" s="33">
        <f>10199.93</f>
        <v>10199.93</v>
      </c>
      <c r="T126" s="30">
        <f>2117</f>
        <v>2117</v>
      </c>
      <c r="U126" s="30" t="str">
        <f>"－"</f>
        <v>－</v>
      </c>
      <c r="V126" s="30">
        <f>21712976</f>
        <v>21712976</v>
      </c>
      <c r="W126" s="30" t="str">
        <f>"－"</f>
        <v>－</v>
      </c>
      <c r="X126" s="34">
        <f>14</f>
        <v>14</v>
      </c>
    </row>
    <row r="127" spans="1:24">
      <c r="A127" s="25" t="s">
        <v>1237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30140</f>
        <v>30140</v>
      </c>
      <c r="L127" s="32" t="s">
        <v>1110</v>
      </c>
      <c r="M127" s="31">
        <f>31820</f>
        <v>31820</v>
      </c>
      <c r="N127" s="32" t="s">
        <v>1123</v>
      </c>
      <c r="O127" s="31">
        <f>30050</f>
        <v>30050</v>
      </c>
      <c r="P127" s="32" t="s">
        <v>1110</v>
      </c>
      <c r="Q127" s="31">
        <f>31790</f>
        <v>31790</v>
      </c>
      <c r="R127" s="32" t="s">
        <v>883</v>
      </c>
      <c r="S127" s="33">
        <f>31016.5</f>
        <v>31016.5</v>
      </c>
      <c r="T127" s="30">
        <f>11338</f>
        <v>11338</v>
      </c>
      <c r="U127" s="30">
        <f>68</f>
        <v>68</v>
      </c>
      <c r="V127" s="30">
        <f>355535265</f>
        <v>355535265</v>
      </c>
      <c r="W127" s="30">
        <f>2097745</f>
        <v>2097745</v>
      </c>
      <c r="X127" s="34">
        <f>20</f>
        <v>20</v>
      </c>
    </row>
    <row r="128" spans="1:24">
      <c r="A128" s="25" t="s">
        <v>1237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17635</f>
        <v>17635</v>
      </c>
      <c r="L128" s="32" t="s">
        <v>1110</v>
      </c>
      <c r="M128" s="31">
        <f>20385</f>
        <v>20385</v>
      </c>
      <c r="N128" s="32" t="s">
        <v>679</v>
      </c>
      <c r="O128" s="31">
        <f>17635</f>
        <v>17635</v>
      </c>
      <c r="P128" s="32" t="s">
        <v>1110</v>
      </c>
      <c r="Q128" s="31">
        <f>20100</f>
        <v>20100</v>
      </c>
      <c r="R128" s="32" t="s">
        <v>883</v>
      </c>
      <c r="S128" s="33">
        <f>19518.75</f>
        <v>19518.75</v>
      </c>
      <c r="T128" s="30">
        <f>89702</f>
        <v>89702</v>
      </c>
      <c r="U128" s="30">
        <f>5458</f>
        <v>5458</v>
      </c>
      <c r="V128" s="30">
        <f>1752058332</f>
        <v>1752058332</v>
      </c>
      <c r="W128" s="30">
        <f>107938562</f>
        <v>107938562</v>
      </c>
      <c r="X128" s="34">
        <f>20</f>
        <v>20</v>
      </c>
    </row>
    <row r="129" spans="1:24">
      <c r="A129" s="25" t="s">
        <v>1237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26150</f>
        <v>26150</v>
      </c>
      <c r="L129" s="32" t="s">
        <v>1110</v>
      </c>
      <c r="M129" s="31">
        <f>30160</f>
        <v>30160</v>
      </c>
      <c r="N129" s="32" t="s">
        <v>677</v>
      </c>
      <c r="O129" s="31">
        <f>26150</f>
        <v>26150</v>
      </c>
      <c r="P129" s="32" t="s">
        <v>1110</v>
      </c>
      <c r="Q129" s="31">
        <f>27890</f>
        <v>27890</v>
      </c>
      <c r="R129" s="32" t="s">
        <v>883</v>
      </c>
      <c r="S129" s="33">
        <f>27868</f>
        <v>27868</v>
      </c>
      <c r="T129" s="30">
        <f>37070</f>
        <v>37070</v>
      </c>
      <c r="U129" s="30">
        <f>4304</f>
        <v>4304</v>
      </c>
      <c r="V129" s="30">
        <f>1032731337</f>
        <v>1032731337</v>
      </c>
      <c r="W129" s="30">
        <f>113520287</f>
        <v>113520287</v>
      </c>
      <c r="X129" s="34">
        <f>20</f>
        <v>20</v>
      </c>
    </row>
    <row r="130" spans="1:24">
      <c r="A130" s="25" t="s">
        <v>1237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37880</f>
        <v>37880</v>
      </c>
      <c r="L130" s="32" t="s">
        <v>1110</v>
      </c>
      <c r="M130" s="31">
        <f>39990</f>
        <v>39990</v>
      </c>
      <c r="N130" s="32" t="s">
        <v>1113</v>
      </c>
      <c r="O130" s="31">
        <f>36920</f>
        <v>36920</v>
      </c>
      <c r="P130" s="32" t="s">
        <v>1111</v>
      </c>
      <c r="Q130" s="31">
        <f>37390</f>
        <v>37390</v>
      </c>
      <c r="R130" s="32" t="s">
        <v>883</v>
      </c>
      <c r="S130" s="33">
        <f>37881.5</f>
        <v>37881.5</v>
      </c>
      <c r="T130" s="30">
        <f>3243</f>
        <v>3243</v>
      </c>
      <c r="U130" s="30">
        <f>33</f>
        <v>33</v>
      </c>
      <c r="V130" s="30">
        <f>122722960</f>
        <v>122722960</v>
      </c>
      <c r="W130" s="30">
        <f>1254920</f>
        <v>1254920</v>
      </c>
      <c r="X130" s="34">
        <f>20</f>
        <v>20</v>
      </c>
    </row>
    <row r="131" spans="1:24">
      <c r="A131" s="25" t="s">
        <v>1237</v>
      </c>
      <c r="B131" s="25" t="s">
        <v>1136</v>
      </c>
      <c r="C131" s="25" t="s">
        <v>1135</v>
      </c>
      <c r="D131" s="25" t="s">
        <v>1134</v>
      </c>
      <c r="E131" s="26" t="s">
        <v>43</v>
      </c>
      <c r="F131" s="27" t="s">
        <v>43</v>
      </c>
      <c r="G131" s="28" t="s">
        <v>43</v>
      </c>
      <c r="H131" s="29"/>
      <c r="I131" s="29" t="s">
        <v>465</v>
      </c>
      <c r="J131" s="30">
        <v>1</v>
      </c>
      <c r="K131" s="31">
        <f>8599</f>
        <v>8599</v>
      </c>
      <c r="L131" s="32" t="s">
        <v>1110</v>
      </c>
      <c r="M131" s="31">
        <f>8920</f>
        <v>8920</v>
      </c>
      <c r="N131" s="32" t="s">
        <v>1115</v>
      </c>
      <c r="O131" s="31">
        <f>7900</f>
        <v>7900</v>
      </c>
      <c r="P131" s="32" t="s">
        <v>1114</v>
      </c>
      <c r="Q131" s="31">
        <f>8075</f>
        <v>8075</v>
      </c>
      <c r="R131" s="32" t="s">
        <v>883</v>
      </c>
      <c r="S131" s="33">
        <f>8326.1</f>
        <v>8326.1</v>
      </c>
      <c r="T131" s="30">
        <f>65685</f>
        <v>65685</v>
      </c>
      <c r="U131" s="30" t="str">
        <f>"－"</f>
        <v>－</v>
      </c>
      <c r="V131" s="30">
        <f>550708542</f>
        <v>550708542</v>
      </c>
      <c r="W131" s="30" t="str">
        <f>"－"</f>
        <v>－</v>
      </c>
      <c r="X131" s="34">
        <f>20</f>
        <v>20</v>
      </c>
    </row>
    <row r="132" spans="1:24">
      <c r="A132" s="25" t="s">
        <v>1237</v>
      </c>
      <c r="B132" s="25" t="s">
        <v>365</v>
      </c>
      <c r="C132" s="25" t="s">
        <v>926</v>
      </c>
      <c r="D132" s="25" t="s">
        <v>927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1969</f>
        <v>1969</v>
      </c>
      <c r="L132" s="32" t="s">
        <v>1110</v>
      </c>
      <c r="M132" s="31">
        <f>2053</f>
        <v>2053</v>
      </c>
      <c r="N132" s="32" t="s">
        <v>1115</v>
      </c>
      <c r="O132" s="31">
        <f>1900</f>
        <v>1900</v>
      </c>
      <c r="P132" s="32" t="s">
        <v>674</v>
      </c>
      <c r="Q132" s="31">
        <f>1995</f>
        <v>1995</v>
      </c>
      <c r="R132" s="32" t="s">
        <v>883</v>
      </c>
      <c r="S132" s="33">
        <f>2010.45</f>
        <v>2010.45</v>
      </c>
      <c r="T132" s="30">
        <f>1888771</f>
        <v>1888771</v>
      </c>
      <c r="U132" s="30">
        <f>1324379</f>
        <v>1324379</v>
      </c>
      <c r="V132" s="30">
        <f>3797214615</f>
        <v>3797214615</v>
      </c>
      <c r="W132" s="30">
        <f>2668345435</f>
        <v>2668345435</v>
      </c>
      <c r="X132" s="34">
        <f>20</f>
        <v>20</v>
      </c>
    </row>
    <row r="133" spans="1:24">
      <c r="A133" s="25" t="s">
        <v>1237</v>
      </c>
      <c r="B133" s="25" t="s">
        <v>366</v>
      </c>
      <c r="C133" s="25" t="s">
        <v>928</v>
      </c>
      <c r="D133" s="25" t="s">
        <v>929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3196</f>
        <v>3196</v>
      </c>
      <c r="L133" s="32" t="s">
        <v>1110</v>
      </c>
      <c r="M133" s="31">
        <f>3358</f>
        <v>3358</v>
      </c>
      <c r="N133" s="32" t="s">
        <v>1115</v>
      </c>
      <c r="O133" s="31">
        <f>3184</f>
        <v>3184</v>
      </c>
      <c r="P133" s="32" t="s">
        <v>1110</v>
      </c>
      <c r="Q133" s="31">
        <f>3261</f>
        <v>3261</v>
      </c>
      <c r="R133" s="32" t="s">
        <v>883</v>
      </c>
      <c r="S133" s="33">
        <f>3270.2</f>
        <v>3270.2</v>
      </c>
      <c r="T133" s="30">
        <f>130560</f>
        <v>130560</v>
      </c>
      <c r="U133" s="30" t="str">
        <f>"－"</f>
        <v>－</v>
      </c>
      <c r="V133" s="30">
        <f>426160310</f>
        <v>426160310</v>
      </c>
      <c r="W133" s="30" t="str">
        <f>"－"</f>
        <v>－</v>
      </c>
      <c r="X133" s="34">
        <f>20</f>
        <v>20</v>
      </c>
    </row>
    <row r="134" spans="1:24">
      <c r="A134" s="25" t="s">
        <v>1237</v>
      </c>
      <c r="B134" s="25" t="s">
        <v>367</v>
      </c>
      <c r="C134" s="25" t="s">
        <v>930</v>
      </c>
      <c r="D134" s="25" t="s">
        <v>931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3423</f>
        <v>3423</v>
      </c>
      <c r="L134" s="32" t="s">
        <v>1110</v>
      </c>
      <c r="M134" s="31">
        <f>3607</f>
        <v>3607</v>
      </c>
      <c r="N134" s="32" t="s">
        <v>677</v>
      </c>
      <c r="O134" s="31">
        <f>3423</f>
        <v>3423</v>
      </c>
      <c r="P134" s="32" t="s">
        <v>1110</v>
      </c>
      <c r="Q134" s="31">
        <f>3499</f>
        <v>3499</v>
      </c>
      <c r="R134" s="32" t="s">
        <v>874</v>
      </c>
      <c r="S134" s="33">
        <f>3518.75</f>
        <v>3518.75</v>
      </c>
      <c r="T134" s="30">
        <f>40660</f>
        <v>40660</v>
      </c>
      <c r="U134" s="30" t="str">
        <f>"－"</f>
        <v>－</v>
      </c>
      <c r="V134" s="30">
        <f>142630700</f>
        <v>142630700</v>
      </c>
      <c r="W134" s="30" t="str">
        <f>"－"</f>
        <v>－</v>
      </c>
      <c r="X134" s="34">
        <f>12</f>
        <v>12</v>
      </c>
    </row>
    <row r="135" spans="1:24">
      <c r="A135" s="25" t="s">
        <v>1237</v>
      </c>
      <c r="B135" s="25" t="s">
        <v>368</v>
      </c>
      <c r="C135" s="25" t="s">
        <v>932</v>
      </c>
      <c r="D135" s="25" t="s">
        <v>933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2229</f>
        <v>2229</v>
      </c>
      <c r="L135" s="32" t="s">
        <v>1110</v>
      </c>
      <c r="M135" s="31">
        <f>2261.5</f>
        <v>2261.5</v>
      </c>
      <c r="N135" s="32" t="s">
        <v>1117</v>
      </c>
      <c r="O135" s="31">
        <f>2139.5</f>
        <v>2139.5</v>
      </c>
      <c r="P135" s="32" t="s">
        <v>674</v>
      </c>
      <c r="Q135" s="31">
        <f>2176.5</f>
        <v>2176.5</v>
      </c>
      <c r="R135" s="32" t="s">
        <v>883</v>
      </c>
      <c r="S135" s="33">
        <f>2193.59</f>
        <v>2193.59</v>
      </c>
      <c r="T135" s="30">
        <f>29350</f>
        <v>29350</v>
      </c>
      <c r="U135" s="30" t="str">
        <f>"－"</f>
        <v>－</v>
      </c>
      <c r="V135" s="30">
        <f>64628055</f>
        <v>64628055</v>
      </c>
      <c r="W135" s="30" t="str">
        <f>"－"</f>
        <v>－</v>
      </c>
      <c r="X135" s="34">
        <f>11</f>
        <v>11</v>
      </c>
    </row>
    <row r="136" spans="1:24">
      <c r="A136" s="25" t="s">
        <v>1237</v>
      </c>
      <c r="B136" s="25" t="s">
        <v>369</v>
      </c>
      <c r="C136" s="25" t="s">
        <v>370</v>
      </c>
      <c r="D136" s="25" t="s">
        <v>371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625.5</f>
        <v>625.5</v>
      </c>
      <c r="L136" s="32" t="s">
        <v>1110</v>
      </c>
      <c r="M136" s="31">
        <f>674.5</f>
        <v>674.5</v>
      </c>
      <c r="N136" s="32" t="s">
        <v>1117</v>
      </c>
      <c r="O136" s="31">
        <f>625.4</f>
        <v>625.4</v>
      </c>
      <c r="P136" s="32" t="s">
        <v>1110</v>
      </c>
      <c r="Q136" s="31">
        <f>651.8</f>
        <v>651.79999999999995</v>
      </c>
      <c r="R136" s="32" t="s">
        <v>883</v>
      </c>
      <c r="S136" s="33">
        <f>658.95</f>
        <v>658.95</v>
      </c>
      <c r="T136" s="30">
        <f>65350220</f>
        <v>65350220</v>
      </c>
      <c r="U136" s="30">
        <f>1313430</f>
        <v>1313430</v>
      </c>
      <c r="V136" s="30">
        <f>43054893096</f>
        <v>43054893096</v>
      </c>
      <c r="W136" s="30">
        <f>873802896</f>
        <v>873802896</v>
      </c>
      <c r="X136" s="34">
        <f>20</f>
        <v>20</v>
      </c>
    </row>
    <row r="137" spans="1:24">
      <c r="A137" s="25" t="s">
        <v>1237</v>
      </c>
      <c r="B137" s="25" t="s">
        <v>372</v>
      </c>
      <c r="C137" s="25" t="s">
        <v>373</v>
      </c>
      <c r="D137" s="25" t="s">
        <v>374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301.7</f>
        <v>301.7</v>
      </c>
      <c r="L137" s="32" t="s">
        <v>1110</v>
      </c>
      <c r="M137" s="31">
        <f>305.6</f>
        <v>305.60000000000002</v>
      </c>
      <c r="N137" s="32" t="s">
        <v>875</v>
      </c>
      <c r="O137" s="31">
        <f>297.4</f>
        <v>297.39999999999998</v>
      </c>
      <c r="P137" s="32" t="s">
        <v>883</v>
      </c>
      <c r="Q137" s="31">
        <f>298.4</f>
        <v>298.39999999999998</v>
      </c>
      <c r="R137" s="32" t="s">
        <v>883</v>
      </c>
      <c r="S137" s="33">
        <f>302.18</f>
        <v>302.18</v>
      </c>
      <c r="T137" s="30">
        <f>83608110</f>
        <v>83608110</v>
      </c>
      <c r="U137" s="30">
        <f>79414350</f>
        <v>79414350</v>
      </c>
      <c r="V137" s="30">
        <f>25256073555</f>
        <v>25256073555</v>
      </c>
      <c r="W137" s="30">
        <f>23991559903</f>
        <v>23991559903</v>
      </c>
      <c r="X137" s="34">
        <f>20</f>
        <v>20</v>
      </c>
    </row>
    <row r="138" spans="1:24">
      <c r="A138" s="25" t="s">
        <v>1237</v>
      </c>
      <c r="B138" s="25" t="s">
        <v>375</v>
      </c>
      <c r="C138" s="25" t="s">
        <v>973</v>
      </c>
      <c r="D138" s="25" t="s">
        <v>376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5180</f>
        <v>5180</v>
      </c>
      <c r="L138" s="32" t="s">
        <v>1110</v>
      </c>
      <c r="M138" s="31">
        <f>5490</f>
        <v>5490</v>
      </c>
      <c r="N138" s="32" t="s">
        <v>1117</v>
      </c>
      <c r="O138" s="31">
        <f>5170</f>
        <v>5170</v>
      </c>
      <c r="P138" s="32" t="s">
        <v>1110</v>
      </c>
      <c r="Q138" s="31">
        <f>5330</f>
        <v>5330</v>
      </c>
      <c r="R138" s="32" t="s">
        <v>883</v>
      </c>
      <c r="S138" s="33">
        <f>5384.5</f>
        <v>5384.5</v>
      </c>
      <c r="T138" s="30">
        <f>125779</f>
        <v>125779</v>
      </c>
      <c r="U138" s="30">
        <f>8995</f>
        <v>8995</v>
      </c>
      <c r="V138" s="30">
        <f>675822684</f>
        <v>675822684</v>
      </c>
      <c r="W138" s="30">
        <f>47864814</f>
        <v>47864814</v>
      </c>
      <c r="X138" s="34">
        <f>20</f>
        <v>20</v>
      </c>
    </row>
    <row r="139" spans="1:24">
      <c r="A139" s="25" t="s">
        <v>1237</v>
      </c>
      <c r="B139" s="25" t="s">
        <v>377</v>
      </c>
      <c r="C139" s="25" t="s">
        <v>378</v>
      </c>
      <c r="D139" s="25" t="s">
        <v>379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2826</f>
        <v>2826</v>
      </c>
      <c r="L139" s="32" t="s">
        <v>1110</v>
      </c>
      <c r="M139" s="31">
        <f>2945</f>
        <v>2945</v>
      </c>
      <c r="N139" s="32" t="s">
        <v>1113</v>
      </c>
      <c r="O139" s="31">
        <f>2708</f>
        <v>2708</v>
      </c>
      <c r="P139" s="32" t="s">
        <v>883</v>
      </c>
      <c r="Q139" s="31">
        <f>2730</f>
        <v>2730</v>
      </c>
      <c r="R139" s="32" t="s">
        <v>883</v>
      </c>
      <c r="S139" s="33">
        <f>2833.2</f>
        <v>2833.2</v>
      </c>
      <c r="T139" s="30">
        <f>200055</f>
        <v>200055</v>
      </c>
      <c r="U139" s="30">
        <f>73785</f>
        <v>73785</v>
      </c>
      <c r="V139" s="30">
        <f>563719776</f>
        <v>563719776</v>
      </c>
      <c r="W139" s="30">
        <f>207647141</f>
        <v>207647141</v>
      </c>
      <c r="X139" s="34">
        <f>20</f>
        <v>20</v>
      </c>
    </row>
    <row r="140" spans="1:24">
      <c r="A140" s="25" t="s">
        <v>1237</v>
      </c>
      <c r="B140" s="25" t="s">
        <v>380</v>
      </c>
      <c r="C140" s="25" t="s">
        <v>381</v>
      </c>
      <c r="D140" s="25" t="s">
        <v>382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3390</f>
        <v>3390</v>
      </c>
      <c r="L140" s="32" t="s">
        <v>1110</v>
      </c>
      <c r="M140" s="31">
        <f>3540</f>
        <v>3540</v>
      </c>
      <c r="N140" s="32" t="s">
        <v>1124</v>
      </c>
      <c r="O140" s="31">
        <f>3375</f>
        <v>3375</v>
      </c>
      <c r="P140" s="32" t="s">
        <v>1110</v>
      </c>
      <c r="Q140" s="31">
        <f>3505</f>
        <v>3505</v>
      </c>
      <c r="R140" s="32" t="s">
        <v>883</v>
      </c>
      <c r="S140" s="33">
        <f>3476.25</f>
        <v>3476.25</v>
      </c>
      <c r="T140" s="30">
        <f>267371</f>
        <v>267371</v>
      </c>
      <c r="U140" s="30" t="str">
        <f>"－"</f>
        <v>－</v>
      </c>
      <c r="V140" s="30">
        <f>929815370</f>
        <v>929815370</v>
      </c>
      <c r="W140" s="30" t="str">
        <f>"－"</f>
        <v>－</v>
      </c>
      <c r="X140" s="34">
        <f>20</f>
        <v>20</v>
      </c>
    </row>
    <row r="141" spans="1:24">
      <c r="A141" s="25" t="s">
        <v>1237</v>
      </c>
      <c r="B141" s="25" t="s">
        <v>383</v>
      </c>
      <c r="C141" s="25" t="s">
        <v>384</v>
      </c>
      <c r="D141" s="25" t="s">
        <v>385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9508</f>
        <v>9508</v>
      </c>
      <c r="L141" s="32" t="s">
        <v>1110</v>
      </c>
      <c r="M141" s="31">
        <f>9620</f>
        <v>9620</v>
      </c>
      <c r="N141" s="32" t="s">
        <v>679</v>
      </c>
      <c r="O141" s="31">
        <f>9357</f>
        <v>9357</v>
      </c>
      <c r="P141" s="32" t="s">
        <v>1117</v>
      </c>
      <c r="Q141" s="31">
        <f>9526</f>
        <v>9526</v>
      </c>
      <c r="R141" s="32" t="s">
        <v>883</v>
      </c>
      <c r="S141" s="33">
        <f>9504.6</f>
        <v>9504.6</v>
      </c>
      <c r="T141" s="30">
        <f>195172</f>
        <v>195172</v>
      </c>
      <c r="U141" s="30">
        <f>136490</f>
        <v>136490</v>
      </c>
      <c r="V141" s="30">
        <f>1857689870</f>
        <v>1857689870</v>
      </c>
      <c r="W141" s="30">
        <f>1300323037</f>
        <v>1300323037</v>
      </c>
      <c r="X141" s="34">
        <f>20</f>
        <v>20</v>
      </c>
    </row>
    <row r="142" spans="1:24">
      <c r="A142" s="25" t="s">
        <v>1237</v>
      </c>
      <c r="B142" s="25" t="s">
        <v>386</v>
      </c>
      <c r="C142" s="25" t="s">
        <v>387</v>
      </c>
      <c r="D142" s="25" t="s">
        <v>388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3050</f>
        <v>3050</v>
      </c>
      <c r="L142" s="32" t="s">
        <v>1110</v>
      </c>
      <c r="M142" s="31">
        <f>3185</f>
        <v>3185</v>
      </c>
      <c r="N142" s="32" t="s">
        <v>1115</v>
      </c>
      <c r="O142" s="31">
        <f>2955</f>
        <v>2955</v>
      </c>
      <c r="P142" s="32" t="s">
        <v>678</v>
      </c>
      <c r="Q142" s="31">
        <f>2973</f>
        <v>2973</v>
      </c>
      <c r="R142" s="32" t="s">
        <v>883</v>
      </c>
      <c r="S142" s="33">
        <f>3062.2</f>
        <v>3062.2</v>
      </c>
      <c r="T142" s="30">
        <f>4046997</f>
        <v>4046997</v>
      </c>
      <c r="U142" s="30">
        <f>150</f>
        <v>150</v>
      </c>
      <c r="V142" s="30">
        <f>12367640213</f>
        <v>12367640213</v>
      </c>
      <c r="W142" s="30">
        <f>470220</f>
        <v>470220</v>
      </c>
      <c r="X142" s="34">
        <f>20</f>
        <v>20</v>
      </c>
    </row>
    <row r="143" spans="1:24">
      <c r="A143" s="25" t="s">
        <v>1237</v>
      </c>
      <c r="B143" s="25" t="s">
        <v>389</v>
      </c>
      <c r="C143" s="25" t="s">
        <v>390</v>
      </c>
      <c r="D143" s="25" t="s">
        <v>391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39100</f>
        <v>39100</v>
      </c>
      <c r="L143" s="32" t="s">
        <v>1110</v>
      </c>
      <c r="M143" s="31">
        <f>39560</f>
        <v>39560</v>
      </c>
      <c r="N143" s="32" t="s">
        <v>679</v>
      </c>
      <c r="O143" s="31">
        <f>37030</f>
        <v>37030</v>
      </c>
      <c r="P143" s="32" t="s">
        <v>678</v>
      </c>
      <c r="Q143" s="31">
        <f>37300</f>
        <v>37300</v>
      </c>
      <c r="R143" s="32" t="s">
        <v>883</v>
      </c>
      <c r="S143" s="33">
        <f>38041.5</f>
        <v>38041.5</v>
      </c>
      <c r="T143" s="30">
        <f>14678</f>
        <v>14678</v>
      </c>
      <c r="U143" s="30" t="str">
        <f>"－"</f>
        <v>－</v>
      </c>
      <c r="V143" s="30">
        <f>559878450</f>
        <v>559878450</v>
      </c>
      <c r="W143" s="30" t="str">
        <f>"－"</f>
        <v>－</v>
      </c>
      <c r="X143" s="34">
        <f>20</f>
        <v>20</v>
      </c>
    </row>
    <row r="144" spans="1:24">
      <c r="A144" s="25" t="s">
        <v>1237</v>
      </c>
      <c r="B144" s="25" t="s">
        <v>392</v>
      </c>
      <c r="C144" s="25" t="s">
        <v>393</v>
      </c>
      <c r="D144" s="25" t="s">
        <v>394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10</v>
      </c>
      <c r="K144" s="31">
        <f>4550</f>
        <v>4550</v>
      </c>
      <c r="L144" s="32" t="s">
        <v>1110</v>
      </c>
      <c r="M144" s="31">
        <f>4595</f>
        <v>4595</v>
      </c>
      <c r="N144" s="32" t="s">
        <v>1110</v>
      </c>
      <c r="O144" s="31">
        <f>4136</f>
        <v>4136</v>
      </c>
      <c r="P144" s="32" t="s">
        <v>1114</v>
      </c>
      <c r="Q144" s="31">
        <f>4231</f>
        <v>4231</v>
      </c>
      <c r="R144" s="32" t="s">
        <v>883</v>
      </c>
      <c r="S144" s="33">
        <f>4383.25</f>
        <v>4383.25</v>
      </c>
      <c r="T144" s="30">
        <f>74080</f>
        <v>74080</v>
      </c>
      <c r="U144" s="30" t="str">
        <f>"－"</f>
        <v>－</v>
      </c>
      <c r="V144" s="30">
        <f>325341890</f>
        <v>325341890</v>
      </c>
      <c r="W144" s="30" t="str">
        <f>"－"</f>
        <v>－</v>
      </c>
      <c r="X144" s="34">
        <f>20</f>
        <v>20</v>
      </c>
    </row>
    <row r="145" spans="1:24">
      <c r="A145" s="25" t="s">
        <v>1237</v>
      </c>
      <c r="B145" s="25" t="s">
        <v>395</v>
      </c>
      <c r="C145" s="25" t="s">
        <v>396</v>
      </c>
      <c r="D145" s="25" t="s">
        <v>397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14035</f>
        <v>14035</v>
      </c>
      <c r="L145" s="32" t="s">
        <v>1110</v>
      </c>
      <c r="M145" s="31">
        <f>14090</f>
        <v>14090</v>
      </c>
      <c r="N145" s="32" t="s">
        <v>1113</v>
      </c>
      <c r="O145" s="31">
        <f>12905</f>
        <v>12905</v>
      </c>
      <c r="P145" s="32" t="s">
        <v>1114</v>
      </c>
      <c r="Q145" s="31">
        <f>13005</f>
        <v>13005</v>
      </c>
      <c r="R145" s="32" t="s">
        <v>883</v>
      </c>
      <c r="S145" s="33">
        <f>13563</f>
        <v>13563</v>
      </c>
      <c r="T145" s="30">
        <f>8956</f>
        <v>8956</v>
      </c>
      <c r="U145" s="30" t="str">
        <f>"－"</f>
        <v>－</v>
      </c>
      <c r="V145" s="30">
        <f>121161940</f>
        <v>121161940</v>
      </c>
      <c r="W145" s="30" t="str">
        <f>"－"</f>
        <v>－</v>
      </c>
      <c r="X145" s="34">
        <f>20</f>
        <v>20</v>
      </c>
    </row>
    <row r="146" spans="1:24">
      <c r="A146" s="25" t="s">
        <v>1237</v>
      </c>
      <c r="B146" s="25" t="s">
        <v>398</v>
      </c>
      <c r="C146" s="25" t="s">
        <v>399</v>
      </c>
      <c r="D146" s="25" t="s">
        <v>400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15920</f>
        <v>15920</v>
      </c>
      <c r="L146" s="32" t="s">
        <v>1110</v>
      </c>
      <c r="M146" s="31">
        <f>15920</f>
        <v>15920</v>
      </c>
      <c r="N146" s="32" t="s">
        <v>1110</v>
      </c>
      <c r="O146" s="31">
        <f>13340</f>
        <v>13340</v>
      </c>
      <c r="P146" s="32" t="s">
        <v>1117</v>
      </c>
      <c r="Q146" s="31">
        <f>13760</f>
        <v>13760</v>
      </c>
      <c r="R146" s="32" t="s">
        <v>883</v>
      </c>
      <c r="S146" s="33">
        <f>14235.25</f>
        <v>14235.25</v>
      </c>
      <c r="T146" s="30">
        <f>18100</f>
        <v>18100</v>
      </c>
      <c r="U146" s="30" t="str">
        <f>"－"</f>
        <v>－</v>
      </c>
      <c r="V146" s="30">
        <f>257652990</f>
        <v>257652990</v>
      </c>
      <c r="W146" s="30" t="str">
        <f>"－"</f>
        <v>－</v>
      </c>
      <c r="X146" s="34">
        <f>20</f>
        <v>20</v>
      </c>
    </row>
    <row r="147" spans="1:24">
      <c r="A147" s="25" t="s">
        <v>1237</v>
      </c>
      <c r="B147" s="25" t="s">
        <v>401</v>
      </c>
      <c r="C147" s="25" t="s">
        <v>402</v>
      </c>
      <c r="D147" s="25" t="s">
        <v>403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25845</f>
        <v>25845</v>
      </c>
      <c r="L147" s="32" t="s">
        <v>1110</v>
      </c>
      <c r="M147" s="31">
        <f>25845</f>
        <v>25845</v>
      </c>
      <c r="N147" s="32" t="s">
        <v>1110</v>
      </c>
      <c r="O147" s="31">
        <f>23350</f>
        <v>23350</v>
      </c>
      <c r="P147" s="32" t="s">
        <v>1114</v>
      </c>
      <c r="Q147" s="31">
        <f>24275</f>
        <v>24275</v>
      </c>
      <c r="R147" s="32" t="s">
        <v>883</v>
      </c>
      <c r="S147" s="33">
        <f>24784.75</f>
        <v>24784.75</v>
      </c>
      <c r="T147" s="30">
        <f>795</f>
        <v>795</v>
      </c>
      <c r="U147" s="30" t="str">
        <f>"－"</f>
        <v>－</v>
      </c>
      <c r="V147" s="30">
        <f>19593745</f>
        <v>19593745</v>
      </c>
      <c r="W147" s="30" t="str">
        <f>"－"</f>
        <v>－</v>
      </c>
      <c r="X147" s="34">
        <f>20</f>
        <v>20</v>
      </c>
    </row>
    <row r="148" spans="1:24">
      <c r="A148" s="25" t="s">
        <v>1237</v>
      </c>
      <c r="B148" s="25" t="s">
        <v>404</v>
      </c>
      <c r="C148" s="25" t="s">
        <v>405</v>
      </c>
      <c r="D148" s="25" t="s">
        <v>406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56310</f>
        <v>56310</v>
      </c>
      <c r="L148" s="32" t="s">
        <v>1110</v>
      </c>
      <c r="M148" s="31">
        <f>57000</f>
        <v>57000</v>
      </c>
      <c r="N148" s="32" t="s">
        <v>875</v>
      </c>
      <c r="O148" s="31">
        <f>55380</f>
        <v>55380</v>
      </c>
      <c r="P148" s="32" t="s">
        <v>674</v>
      </c>
      <c r="Q148" s="31">
        <f>55850</f>
        <v>55850</v>
      </c>
      <c r="R148" s="32" t="s">
        <v>1114</v>
      </c>
      <c r="S148" s="33">
        <f>56432.11</f>
        <v>56432.11</v>
      </c>
      <c r="T148" s="30">
        <f>2910</f>
        <v>2910</v>
      </c>
      <c r="U148" s="30">
        <f>10</f>
        <v>10</v>
      </c>
      <c r="V148" s="30">
        <f>164235800</f>
        <v>164235800</v>
      </c>
      <c r="W148" s="30">
        <f>563900</f>
        <v>563900</v>
      </c>
      <c r="X148" s="34">
        <f>19</f>
        <v>19</v>
      </c>
    </row>
    <row r="149" spans="1:24">
      <c r="A149" s="25" t="s">
        <v>1237</v>
      </c>
      <c r="B149" s="25" t="s">
        <v>407</v>
      </c>
      <c r="C149" s="25" t="s">
        <v>974</v>
      </c>
      <c r="D149" s="25" t="s">
        <v>408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366.9</f>
        <v>366.9</v>
      </c>
      <c r="L149" s="32" t="s">
        <v>1110</v>
      </c>
      <c r="M149" s="31">
        <f>375.5</f>
        <v>375.5</v>
      </c>
      <c r="N149" s="32" t="s">
        <v>1115</v>
      </c>
      <c r="O149" s="31">
        <f>356.3</f>
        <v>356.3</v>
      </c>
      <c r="P149" s="32" t="s">
        <v>883</v>
      </c>
      <c r="Q149" s="31">
        <f>358.6</f>
        <v>358.6</v>
      </c>
      <c r="R149" s="32" t="s">
        <v>883</v>
      </c>
      <c r="S149" s="33">
        <f>365.15</f>
        <v>365.15</v>
      </c>
      <c r="T149" s="30">
        <f>38126610</f>
        <v>38126610</v>
      </c>
      <c r="U149" s="30">
        <f>5330</f>
        <v>5330</v>
      </c>
      <c r="V149" s="30">
        <f>13917472038</f>
        <v>13917472038</v>
      </c>
      <c r="W149" s="30">
        <f>1942038</f>
        <v>1942038</v>
      </c>
      <c r="X149" s="34">
        <f>20</f>
        <v>20</v>
      </c>
    </row>
    <row r="150" spans="1:24">
      <c r="A150" s="25" t="s">
        <v>1237</v>
      </c>
      <c r="B150" s="25" t="s">
        <v>409</v>
      </c>
      <c r="C150" s="25" t="s">
        <v>975</v>
      </c>
      <c r="D150" s="25" t="s">
        <v>410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53120</f>
        <v>53120</v>
      </c>
      <c r="L150" s="32" t="s">
        <v>1110</v>
      </c>
      <c r="M150" s="31">
        <f>57550</f>
        <v>57550</v>
      </c>
      <c r="N150" s="32" t="s">
        <v>679</v>
      </c>
      <c r="O150" s="31">
        <f>53090</f>
        <v>53090</v>
      </c>
      <c r="P150" s="32" t="s">
        <v>1110</v>
      </c>
      <c r="Q150" s="31">
        <f>56740</f>
        <v>56740</v>
      </c>
      <c r="R150" s="32" t="s">
        <v>1114</v>
      </c>
      <c r="S150" s="33">
        <f>56050.63</f>
        <v>56050.63</v>
      </c>
      <c r="T150" s="30">
        <f>25730</f>
        <v>25730</v>
      </c>
      <c r="U150" s="30">
        <f>22500</f>
        <v>22500</v>
      </c>
      <c r="V150" s="30">
        <f>1466153000</f>
        <v>1466153000</v>
      </c>
      <c r="W150" s="30">
        <f>1284250500</f>
        <v>1284250500</v>
      </c>
      <c r="X150" s="34">
        <f>16</f>
        <v>16</v>
      </c>
    </row>
    <row r="151" spans="1:24">
      <c r="A151" s="25" t="s">
        <v>1237</v>
      </c>
      <c r="B151" s="25" t="s">
        <v>411</v>
      </c>
      <c r="C151" s="25" t="s">
        <v>412</v>
      </c>
      <c r="D151" s="25" t="s">
        <v>976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5966</f>
        <v>5966</v>
      </c>
      <c r="L151" s="32" t="s">
        <v>1110</v>
      </c>
      <c r="M151" s="31">
        <f>6322</f>
        <v>6322</v>
      </c>
      <c r="N151" s="32" t="s">
        <v>1117</v>
      </c>
      <c r="O151" s="31">
        <f>5951</f>
        <v>5951</v>
      </c>
      <c r="P151" s="32" t="s">
        <v>1110</v>
      </c>
      <c r="Q151" s="31">
        <f>6140</f>
        <v>6140</v>
      </c>
      <c r="R151" s="32" t="s">
        <v>883</v>
      </c>
      <c r="S151" s="33">
        <f>6203.15</f>
        <v>6203.15</v>
      </c>
      <c r="T151" s="30">
        <f>75060</f>
        <v>75060</v>
      </c>
      <c r="U151" s="30" t="str">
        <f>"－"</f>
        <v>－</v>
      </c>
      <c r="V151" s="30">
        <f>465706800</f>
        <v>465706800</v>
      </c>
      <c r="W151" s="30" t="str">
        <f>"－"</f>
        <v>－</v>
      </c>
      <c r="X151" s="34">
        <f>20</f>
        <v>20</v>
      </c>
    </row>
    <row r="152" spans="1:24">
      <c r="A152" s="25" t="s">
        <v>1237</v>
      </c>
      <c r="B152" s="25" t="s">
        <v>413</v>
      </c>
      <c r="C152" s="25" t="s">
        <v>977</v>
      </c>
      <c r="D152" s="25" t="s">
        <v>978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2166</f>
        <v>2166</v>
      </c>
      <c r="L152" s="32" t="s">
        <v>1110</v>
      </c>
      <c r="M152" s="31">
        <f>2245</f>
        <v>2245</v>
      </c>
      <c r="N152" s="32" t="s">
        <v>1113</v>
      </c>
      <c r="O152" s="31">
        <f>2059.5</f>
        <v>2059.5</v>
      </c>
      <c r="P152" s="32" t="s">
        <v>883</v>
      </c>
      <c r="Q152" s="31">
        <f>2075</f>
        <v>2075</v>
      </c>
      <c r="R152" s="32" t="s">
        <v>883</v>
      </c>
      <c r="S152" s="33">
        <f>2158.08</f>
        <v>2158.08</v>
      </c>
      <c r="T152" s="30">
        <f>164890</f>
        <v>164890</v>
      </c>
      <c r="U152" s="30">
        <f>26400</f>
        <v>26400</v>
      </c>
      <c r="V152" s="30">
        <f>355412040</f>
        <v>355412040</v>
      </c>
      <c r="W152" s="30">
        <f>57228540</f>
        <v>57228540</v>
      </c>
      <c r="X152" s="34">
        <f>20</f>
        <v>20</v>
      </c>
    </row>
    <row r="153" spans="1:24">
      <c r="A153" s="25" t="s">
        <v>1237</v>
      </c>
      <c r="B153" s="25" t="s">
        <v>417</v>
      </c>
      <c r="C153" s="25" t="s">
        <v>418</v>
      </c>
      <c r="D153" s="25" t="s">
        <v>419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1713</f>
        <v>1713</v>
      </c>
      <c r="L153" s="32" t="s">
        <v>1110</v>
      </c>
      <c r="M153" s="31">
        <f>1755.5</f>
        <v>1755.5</v>
      </c>
      <c r="N153" s="32" t="s">
        <v>1113</v>
      </c>
      <c r="O153" s="31">
        <f>1662</f>
        <v>1662</v>
      </c>
      <c r="P153" s="32" t="s">
        <v>677</v>
      </c>
      <c r="Q153" s="31">
        <f>1711.5</f>
        <v>1711.5</v>
      </c>
      <c r="R153" s="32" t="s">
        <v>883</v>
      </c>
      <c r="S153" s="33">
        <f>1720.5</f>
        <v>1720.5</v>
      </c>
      <c r="T153" s="30">
        <f>340</f>
        <v>340</v>
      </c>
      <c r="U153" s="30" t="str">
        <f t="shared" ref="U153:U166" si="1">"－"</f>
        <v>－</v>
      </c>
      <c r="V153" s="30">
        <f>583425</f>
        <v>583425</v>
      </c>
      <c r="W153" s="30" t="str">
        <f t="shared" ref="W153:W166" si="2">"－"</f>
        <v>－</v>
      </c>
      <c r="X153" s="34">
        <f>10</f>
        <v>10</v>
      </c>
    </row>
    <row r="154" spans="1:24">
      <c r="A154" s="25" t="s">
        <v>1237</v>
      </c>
      <c r="B154" s="25" t="s">
        <v>420</v>
      </c>
      <c r="C154" s="25" t="s">
        <v>421</v>
      </c>
      <c r="D154" s="25" t="s">
        <v>422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506</f>
        <v>506</v>
      </c>
      <c r="L154" s="32" t="s">
        <v>1110</v>
      </c>
      <c r="M154" s="31">
        <f>540.3</f>
        <v>540.29999999999995</v>
      </c>
      <c r="N154" s="32" t="s">
        <v>679</v>
      </c>
      <c r="O154" s="31">
        <f>501.8</f>
        <v>501.8</v>
      </c>
      <c r="P154" s="32" t="s">
        <v>1117</v>
      </c>
      <c r="Q154" s="31">
        <f>510.1</f>
        <v>510.1</v>
      </c>
      <c r="R154" s="32" t="s">
        <v>883</v>
      </c>
      <c r="S154" s="33">
        <f>517.55</f>
        <v>517.54999999999995</v>
      </c>
      <c r="T154" s="30">
        <f>66560</f>
        <v>66560</v>
      </c>
      <c r="U154" s="30" t="str">
        <f t="shared" si="1"/>
        <v>－</v>
      </c>
      <c r="V154" s="30">
        <f>34706854</f>
        <v>34706854</v>
      </c>
      <c r="W154" s="30" t="str">
        <f t="shared" si="2"/>
        <v>－</v>
      </c>
      <c r="X154" s="34">
        <f>20</f>
        <v>20</v>
      </c>
    </row>
    <row r="155" spans="1:24">
      <c r="A155" s="25" t="s">
        <v>1237</v>
      </c>
      <c r="B155" s="25" t="s">
        <v>423</v>
      </c>
      <c r="C155" s="25" t="s">
        <v>424</v>
      </c>
      <c r="D155" s="25" t="s">
        <v>425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2369</f>
        <v>2369</v>
      </c>
      <c r="L155" s="32" t="s">
        <v>1110</v>
      </c>
      <c r="M155" s="31">
        <f>2425</f>
        <v>2425</v>
      </c>
      <c r="N155" s="32" t="s">
        <v>1115</v>
      </c>
      <c r="O155" s="31">
        <f>2287</f>
        <v>2287</v>
      </c>
      <c r="P155" s="32" t="s">
        <v>883</v>
      </c>
      <c r="Q155" s="31">
        <f>2290</f>
        <v>2290</v>
      </c>
      <c r="R155" s="32" t="s">
        <v>883</v>
      </c>
      <c r="S155" s="33">
        <f>2351.3</f>
        <v>2351.3000000000002</v>
      </c>
      <c r="T155" s="30">
        <f>1740</f>
        <v>1740</v>
      </c>
      <c r="U155" s="30" t="str">
        <f t="shared" si="1"/>
        <v>－</v>
      </c>
      <c r="V155" s="30">
        <f>4069275</f>
        <v>4069275</v>
      </c>
      <c r="W155" s="30" t="str">
        <f t="shared" si="2"/>
        <v>－</v>
      </c>
      <c r="X155" s="34">
        <f>20</f>
        <v>20</v>
      </c>
    </row>
    <row r="156" spans="1:24">
      <c r="A156" s="25" t="s">
        <v>1237</v>
      </c>
      <c r="B156" s="25" t="s">
        <v>426</v>
      </c>
      <c r="C156" s="25" t="s">
        <v>427</v>
      </c>
      <c r="D156" s="25" t="s">
        <v>428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891.1</f>
        <v>891.1</v>
      </c>
      <c r="L156" s="32" t="s">
        <v>1110</v>
      </c>
      <c r="M156" s="31">
        <f>933.6</f>
        <v>933.6</v>
      </c>
      <c r="N156" s="32" t="s">
        <v>1118</v>
      </c>
      <c r="O156" s="31">
        <f>888.1</f>
        <v>888.1</v>
      </c>
      <c r="P156" s="32" t="s">
        <v>674</v>
      </c>
      <c r="Q156" s="31">
        <f>900</f>
        <v>900</v>
      </c>
      <c r="R156" s="32" t="s">
        <v>883</v>
      </c>
      <c r="S156" s="33">
        <f>916.27</f>
        <v>916.27</v>
      </c>
      <c r="T156" s="30">
        <f>31320</f>
        <v>31320</v>
      </c>
      <c r="U156" s="30" t="str">
        <f t="shared" si="1"/>
        <v>－</v>
      </c>
      <c r="V156" s="30">
        <f>28672768</f>
        <v>28672768</v>
      </c>
      <c r="W156" s="30" t="str">
        <f t="shared" si="2"/>
        <v>－</v>
      </c>
      <c r="X156" s="34">
        <f>20</f>
        <v>20</v>
      </c>
    </row>
    <row r="157" spans="1:24">
      <c r="A157" s="25" t="s">
        <v>1237</v>
      </c>
      <c r="B157" s="25" t="s">
        <v>429</v>
      </c>
      <c r="C157" s="25" t="s">
        <v>430</v>
      </c>
      <c r="D157" s="25" t="s">
        <v>431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524.8</f>
        <v>524.79999999999995</v>
      </c>
      <c r="L157" s="32" t="s">
        <v>1110</v>
      </c>
      <c r="M157" s="31">
        <f>545.6</f>
        <v>545.6</v>
      </c>
      <c r="N157" s="32" t="s">
        <v>684</v>
      </c>
      <c r="O157" s="31">
        <f>507</f>
        <v>507</v>
      </c>
      <c r="P157" s="32" t="s">
        <v>883</v>
      </c>
      <c r="Q157" s="31">
        <f>509.3</f>
        <v>509.3</v>
      </c>
      <c r="R157" s="32" t="s">
        <v>883</v>
      </c>
      <c r="S157" s="33">
        <f>530.48</f>
        <v>530.48</v>
      </c>
      <c r="T157" s="30">
        <f>96840</f>
        <v>96840</v>
      </c>
      <c r="U157" s="30" t="str">
        <f t="shared" si="1"/>
        <v>－</v>
      </c>
      <c r="V157" s="30">
        <f>51469434</f>
        <v>51469434</v>
      </c>
      <c r="W157" s="30" t="str">
        <f t="shared" si="2"/>
        <v>－</v>
      </c>
      <c r="X157" s="34">
        <f>20</f>
        <v>20</v>
      </c>
    </row>
    <row r="158" spans="1:24">
      <c r="A158" s="25" t="s">
        <v>1237</v>
      </c>
      <c r="B158" s="25" t="s">
        <v>432</v>
      </c>
      <c r="C158" s="25" t="s">
        <v>433</v>
      </c>
      <c r="D158" s="25" t="s">
        <v>434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</v>
      </c>
      <c r="K158" s="31">
        <f>961</f>
        <v>961</v>
      </c>
      <c r="L158" s="32" t="s">
        <v>1110</v>
      </c>
      <c r="M158" s="31">
        <f>1172</f>
        <v>1172</v>
      </c>
      <c r="N158" s="32" t="s">
        <v>874</v>
      </c>
      <c r="O158" s="31">
        <f>952</f>
        <v>952</v>
      </c>
      <c r="P158" s="32" t="s">
        <v>1124</v>
      </c>
      <c r="Q158" s="31">
        <f>1054</f>
        <v>1054</v>
      </c>
      <c r="R158" s="32" t="s">
        <v>883</v>
      </c>
      <c r="S158" s="33">
        <f>1041.85</f>
        <v>1041.8499999999999</v>
      </c>
      <c r="T158" s="30">
        <f>1020921</f>
        <v>1020921</v>
      </c>
      <c r="U158" s="30" t="str">
        <f t="shared" si="1"/>
        <v>－</v>
      </c>
      <c r="V158" s="30">
        <f>1064422087</f>
        <v>1064422087</v>
      </c>
      <c r="W158" s="30" t="str">
        <f t="shared" si="2"/>
        <v>－</v>
      </c>
      <c r="X158" s="34">
        <f>20</f>
        <v>20</v>
      </c>
    </row>
    <row r="159" spans="1:24">
      <c r="A159" s="25" t="s">
        <v>1237</v>
      </c>
      <c r="B159" s="25" t="s">
        <v>435</v>
      </c>
      <c r="C159" s="25" t="s">
        <v>436</v>
      </c>
      <c r="D159" s="25" t="s">
        <v>437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1456</f>
        <v>1456</v>
      </c>
      <c r="L159" s="32" t="s">
        <v>1110</v>
      </c>
      <c r="M159" s="31">
        <f>1523</f>
        <v>1523</v>
      </c>
      <c r="N159" s="32" t="s">
        <v>1115</v>
      </c>
      <c r="O159" s="31">
        <f>1423</f>
        <v>1423</v>
      </c>
      <c r="P159" s="32" t="s">
        <v>678</v>
      </c>
      <c r="Q159" s="31">
        <f>1428</f>
        <v>1428</v>
      </c>
      <c r="R159" s="32" t="s">
        <v>883</v>
      </c>
      <c r="S159" s="33">
        <f>1468.83</f>
        <v>1468.83</v>
      </c>
      <c r="T159" s="30">
        <f>56720</f>
        <v>56720</v>
      </c>
      <c r="U159" s="30" t="str">
        <f t="shared" si="1"/>
        <v>－</v>
      </c>
      <c r="V159" s="30">
        <f>83732070</f>
        <v>83732070</v>
      </c>
      <c r="W159" s="30" t="str">
        <f t="shared" si="2"/>
        <v>－</v>
      </c>
      <c r="X159" s="34">
        <f>20</f>
        <v>20</v>
      </c>
    </row>
    <row r="160" spans="1:24">
      <c r="A160" s="25" t="s">
        <v>1237</v>
      </c>
      <c r="B160" s="25" t="s">
        <v>438</v>
      </c>
      <c r="C160" s="25" t="s">
        <v>439</v>
      </c>
      <c r="D160" s="25" t="s">
        <v>440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7895</f>
        <v>7895</v>
      </c>
      <c r="L160" s="32" t="s">
        <v>1110</v>
      </c>
      <c r="M160" s="31">
        <f>8299</f>
        <v>8299</v>
      </c>
      <c r="N160" s="32" t="s">
        <v>1113</v>
      </c>
      <c r="O160" s="31">
        <f>7525</f>
        <v>7525</v>
      </c>
      <c r="P160" s="32" t="s">
        <v>1114</v>
      </c>
      <c r="Q160" s="31">
        <f>7550</f>
        <v>7550</v>
      </c>
      <c r="R160" s="32" t="s">
        <v>883</v>
      </c>
      <c r="S160" s="33">
        <f>7880.2</f>
        <v>7880.2</v>
      </c>
      <c r="T160" s="30">
        <f>4656</f>
        <v>4656</v>
      </c>
      <c r="U160" s="30" t="str">
        <f t="shared" si="1"/>
        <v>－</v>
      </c>
      <c r="V160" s="30">
        <f>36639640</f>
        <v>36639640</v>
      </c>
      <c r="W160" s="30" t="str">
        <f t="shared" si="2"/>
        <v>－</v>
      </c>
      <c r="X160" s="34">
        <f>20</f>
        <v>20</v>
      </c>
    </row>
    <row r="161" spans="1:24">
      <c r="A161" s="25" t="s">
        <v>1237</v>
      </c>
      <c r="B161" s="25" t="s">
        <v>441</v>
      </c>
      <c r="C161" s="25" t="s">
        <v>442</v>
      </c>
      <c r="D161" s="25" t="s">
        <v>443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100</v>
      </c>
      <c r="K161" s="31">
        <f>516.1</f>
        <v>516.1</v>
      </c>
      <c r="L161" s="32" t="s">
        <v>1110</v>
      </c>
      <c r="M161" s="31">
        <f>539.9</f>
        <v>539.9</v>
      </c>
      <c r="N161" s="32" t="s">
        <v>678</v>
      </c>
      <c r="O161" s="31">
        <f>488.9</f>
        <v>488.9</v>
      </c>
      <c r="P161" s="32" t="s">
        <v>1114</v>
      </c>
      <c r="Q161" s="31">
        <f>509.9</f>
        <v>509.9</v>
      </c>
      <c r="R161" s="32" t="s">
        <v>883</v>
      </c>
      <c r="S161" s="33">
        <f>520.2</f>
        <v>520.20000000000005</v>
      </c>
      <c r="T161" s="30">
        <f>77600</f>
        <v>77600</v>
      </c>
      <c r="U161" s="30" t="str">
        <f t="shared" si="1"/>
        <v>－</v>
      </c>
      <c r="V161" s="30">
        <f>40514320</f>
        <v>40514320</v>
      </c>
      <c r="W161" s="30" t="str">
        <f t="shared" si="2"/>
        <v>－</v>
      </c>
      <c r="X161" s="34">
        <f>20</f>
        <v>20</v>
      </c>
    </row>
    <row r="162" spans="1:24">
      <c r="A162" s="25" t="s">
        <v>1237</v>
      </c>
      <c r="B162" s="25" t="s">
        <v>444</v>
      </c>
      <c r="C162" s="25" t="s">
        <v>445</v>
      </c>
      <c r="D162" s="25" t="s">
        <v>446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5993</f>
        <v>5993</v>
      </c>
      <c r="L162" s="32" t="s">
        <v>1110</v>
      </c>
      <c r="M162" s="31">
        <f>6163</f>
        <v>6163</v>
      </c>
      <c r="N162" s="32" t="s">
        <v>674</v>
      </c>
      <c r="O162" s="31">
        <f>5504</f>
        <v>5504</v>
      </c>
      <c r="P162" s="32" t="s">
        <v>883</v>
      </c>
      <c r="Q162" s="31">
        <f>5578</f>
        <v>5578</v>
      </c>
      <c r="R162" s="32" t="s">
        <v>883</v>
      </c>
      <c r="S162" s="33">
        <f>5828.45</f>
        <v>5828.45</v>
      </c>
      <c r="T162" s="30">
        <f>62150</f>
        <v>62150</v>
      </c>
      <c r="U162" s="30" t="str">
        <f t="shared" si="1"/>
        <v>－</v>
      </c>
      <c r="V162" s="30">
        <f>361799790</f>
        <v>361799790</v>
      </c>
      <c r="W162" s="30" t="str">
        <f t="shared" si="2"/>
        <v>－</v>
      </c>
      <c r="X162" s="34">
        <f>20</f>
        <v>20</v>
      </c>
    </row>
    <row r="163" spans="1:24">
      <c r="A163" s="25" t="s">
        <v>1237</v>
      </c>
      <c r="B163" s="25" t="s">
        <v>447</v>
      </c>
      <c r="C163" s="25" t="s">
        <v>448</v>
      </c>
      <c r="D163" s="25" t="s">
        <v>449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2179.5</f>
        <v>2179.5</v>
      </c>
      <c r="L163" s="32" t="s">
        <v>1110</v>
      </c>
      <c r="M163" s="31">
        <f>2317</f>
        <v>2317</v>
      </c>
      <c r="N163" s="32" t="s">
        <v>1113</v>
      </c>
      <c r="O163" s="31">
        <f>2094.5</f>
        <v>2094.5</v>
      </c>
      <c r="P163" s="32" t="s">
        <v>1111</v>
      </c>
      <c r="Q163" s="31">
        <f>2177</f>
        <v>2177</v>
      </c>
      <c r="R163" s="32" t="s">
        <v>883</v>
      </c>
      <c r="S163" s="33">
        <f>2225.78</f>
        <v>2225.7800000000002</v>
      </c>
      <c r="T163" s="30">
        <f>13830</f>
        <v>13830</v>
      </c>
      <c r="U163" s="30" t="str">
        <f t="shared" si="1"/>
        <v>－</v>
      </c>
      <c r="V163" s="30">
        <f>30543850</f>
        <v>30543850</v>
      </c>
      <c r="W163" s="30" t="str">
        <f t="shared" si="2"/>
        <v>－</v>
      </c>
      <c r="X163" s="34">
        <f>20</f>
        <v>20</v>
      </c>
    </row>
    <row r="164" spans="1:24">
      <c r="A164" s="25" t="s">
        <v>1237</v>
      </c>
      <c r="B164" s="25" t="s">
        <v>450</v>
      </c>
      <c r="C164" s="25" t="s">
        <v>451</v>
      </c>
      <c r="D164" s="25" t="s">
        <v>452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3350</f>
        <v>3350</v>
      </c>
      <c r="L164" s="32" t="s">
        <v>1110</v>
      </c>
      <c r="M164" s="31">
        <f>3420</f>
        <v>3420</v>
      </c>
      <c r="N164" s="32" t="s">
        <v>1115</v>
      </c>
      <c r="O164" s="31">
        <f>3085</f>
        <v>3085</v>
      </c>
      <c r="P164" s="32" t="s">
        <v>883</v>
      </c>
      <c r="Q164" s="31">
        <f>3095</f>
        <v>3095</v>
      </c>
      <c r="R164" s="32" t="s">
        <v>883</v>
      </c>
      <c r="S164" s="33">
        <f>3272.5</f>
        <v>3272.5</v>
      </c>
      <c r="T164" s="30">
        <f>181965</f>
        <v>181965</v>
      </c>
      <c r="U164" s="30" t="str">
        <f t="shared" si="1"/>
        <v>－</v>
      </c>
      <c r="V164" s="30">
        <f>595025530</f>
        <v>595025530</v>
      </c>
      <c r="W164" s="30" t="str">
        <f t="shared" si="2"/>
        <v>－</v>
      </c>
      <c r="X164" s="34">
        <f>20</f>
        <v>20</v>
      </c>
    </row>
    <row r="165" spans="1:24">
      <c r="A165" s="25" t="s">
        <v>1237</v>
      </c>
      <c r="B165" s="25" t="s">
        <v>453</v>
      </c>
      <c r="C165" s="25" t="s">
        <v>454</v>
      </c>
      <c r="D165" s="25" t="s">
        <v>455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2962</f>
        <v>2962</v>
      </c>
      <c r="L165" s="32" t="s">
        <v>1110</v>
      </c>
      <c r="M165" s="31">
        <f>3145</f>
        <v>3145</v>
      </c>
      <c r="N165" s="32" t="s">
        <v>1112</v>
      </c>
      <c r="O165" s="31">
        <f>2900</f>
        <v>2900</v>
      </c>
      <c r="P165" s="32" t="s">
        <v>1114</v>
      </c>
      <c r="Q165" s="31">
        <f>2950</f>
        <v>2950</v>
      </c>
      <c r="R165" s="32" t="s">
        <v>883</v>
      </c>
      <c r="S165" s="33">
        <f>3063.15</f>
        <v>3063.15</v>
      </c>
      <c r="T165" s="30">
        <f>44960</f>
        <v>44960</v>
      </c>
      <c r="U165" s="30" t="str">
        <f t="shared" si="1"/>
        <v>－</v>
      </c>
      <c r="V165" s="30">
        <f>137853114</f>
        <v>137853114</v>
      </c>
      <c r="W165" s="30" t="str">
        <f t="shared" si="2"/>
        <v>－</v>
      </c>
      <c r="X165" s="34">
        <f>20</f>
        <v>20</v>
      </c>
    </row>
    <row r="166" spans="1:24">
      <c r="A166" s="25" t="s">
        <v>1237</v>
      </c>
      <c r="B166" s="25" t="s">
        <v>456</v>
      </c>
      <c r="C166" s="25" t="s">
        <v>457</v>
      </c>
      <c r="D166" s="25" t="s">
        <v>458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3741</f>
        <v>3741</v>
      </c>
      <c r="L166" s="32" t="s">
        <v>1110</v>
      </c>
      <c r="M166" s="31">
        <f>3927</f>
        <v>3927</v>
      </c>
      <c r="N166" s="32" t="s">
        <v>684</v>
      </c>
      <c r="O166" s="31">
        <f>3650</f>
        <v>3650</v>
      </c>
      <c r="P166" s="32" t="s">
        <v>883</v>
      </c>
      <c r="Q166" s="31">
        <f>3650</f>
        <v>3650</v>
      </c>
      <c r="R166" s="32" t="s">
        <v>883</v>
      </c>
      <c r="S166" s="33">
        <f>3766.25</f>
        <v>3766.25</v>
      </c>
      <c r="T166" s="30">
        <f>31660</f>
        <v>31660</v>
      </c>
      <c r="U166" s="30" t="str">
        <f t="shared" si="1"/>
        <v>－</v>
      </c>
      <c r="V166" s="30">
        <f>119490980</f>
        <v>119490980</v>
      </c>
      <c r="W166" s="30" t="str">
        <f t="shared" si="2"/>
        <v>－</v>
      </c>
      <c r="X166" s="34">
        <f>20</f>
        <v>20</v>
      </c>
    </row>
    <row r="167" spans="1:24">
      <c r="A167" s="25" t="s">
        <v>1237</v>
      </c>
      <c r="B167" s="25" t="s">
        <v>459</v>
      </c>
      <c r="C167" s="25" t="s">
        <v>460</v>
      </c>
      <c r="D167" s="25" t="s">
        <v>979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2922</f>
        <v>2922</v>
      </c>
      <c r="L167" s="32" t="s">
        <v>1110</v>
      </c>
      <c r="M167" s="31">
        <f>3020</f>
        <v>3020</v>
      </c>
      <c r="N167" s="32" t="s">
        <v>1113</v>
      </c>
      <c r="O167" s="31">
        <f>2908.5</f>
        <v>2908.5</v>
      </c>
      <c r="P167" s="32" t="s">
        <v>1110</v>
      </c>
      <c r="Q167" s="31">
        <f>2944</f>
        <v>2944</v>
      </c>
      <c r="R167" s="32" t="s">
        <v>883</v>
      </c>
      <c r="S167" s="33">
        <f>2969.3</f>
        <v>2969.3</v>
      </c>
      <c r="T167" s="30">
        <f>383660</f>
        <v>383660</v>
      </c>
      <c r="U167" s="30">
        <f>254360</f>
        <v>254360</v>
      </c>
      <c r="V167" s="30">
        <f>1138887711</f>
        <v>1138887711</v>
      </c>
      <c r="W167" s="30">
        <f>755309591</f>
        <v>755309591</v>
      </c>
      <c r="X167" s="34">
        <f>20</f>
        <v>20</v>
      </c>
    </row>
    <row r="168" spans="1:24">
      <c r="A168" s="25" t="s">
        <v>1237</v>
      </c>
      <c r="B168" s="25" t="s">
        <v>461</v>
      </c>
      <c r="C168" s="25" t="s">
        <v>980</v>
      </c>
      <c r="D168" s="25" t="s">
        <v>981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403.8</f>
        <v>403.8</v>
      </c>
      <c r="L168" s="32" t="s">
        <v>1110</v>
      </c>
      <c r="M168" s="31">
        <f>420.6</f>
        <v>420.6</v>
      </c>
      <c r="N168" s="32" t="s">
        <v>1115</v>
      </c>
      <c r="O168" s="31">
        <f>392</f>
        <v>392</v>
      </c>
      <c r="P168" s="32" t="s">
        <v>883</v>
      </c>
      <c r="Q168" s="31">
        <f>394.4</f>
        <v>394.4</v>
      </c>
      <c r="R168" s="32" t="s">
        <v>883</v>
      </c>
      <c r="S168" s="33">
        <f>405.45</f>
        <v>405.45</v>
      </c>
      <c r="T168" s="30">
        <f>44114340</f>
        <v>44114340</v>
      </c>
      <c r="U168" s="30">
        <f>21586510</f>
        <v>21586510</v>
      </c>
      <c r="V168" s="30">
        <f>18139050455</f>
        <v>18139050455</v>
      </c>
      <c r="W168" s="30">
        <f>8968790659</f>
        <v>8968790659</v>
      </c>
      <c r="X168" s="34">
        <f>20</f>
        <v>20</v>
      </c>
    </row>
    <row r="169" spans="1:24">
      <c r="A169" s="25" t="s">
        <v>1237</v>
      </c>
      <c r="B169" s="25" t="s">
        <v>1132</v>
      </c>
      <c r="C169" s="25" t="s">
        <v>1131</v>
      </c>
      <c r="D169" s="25" t="s">
        <v>1130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</v>
      </c>
      <c r="K169" s="31">
        <f>1910</f>
        <v>1910</v>
      </c>
      <c r="L169" s="32" t="s">
        <v>1110</v>
      </c>
      <c r="M169" s="31">
        <f>2028</f>
        <v>2028</v>
      </c>
      <c r="N169" s="32" t="s">
        <v>1113</v>
      </c>
      <c r="O169" s="31">
        <f>1910</f>
        <v>1910</v>
      </c>
      <c r="P169" s="32" t="s">
        <v>1110</v>
      </c>
      <c r="Q169" s="31">
        <f>1954</f>
        <v>1954</v>
      </c>
      <c r="R169" s="32" t="s">
        <v>883</v>
      </c>
      <c r="S169" s="33">
        <f>1967.8</f>
        <v>1967.8</v>
      </c>
      <c r="T169" s="30">
        <f>228284</f>
        <v>228284</v>
      </c>
      <c r="U169" s="30">
        <f>50000</f>
        <v>50000</v>
      </c>
      <c r="V169" s="30">
        <f>448680963</f>
        <v>448680963</v>
      </c>
      <c r="W169" s="30">
        <f>98102005</f>
        <v>98102005</v>
      </c>
      <c r="X169" s="34">
        <f>20</f>
        <v>20</v>
      </c>
    </row>
    <row r="170" spans="1:24">
      <c r="A170" s="25" t="s">
        <v>1237</v>
      </c>
      <c r="B170" s="25" t="s">
        <v>1147</v>
      </c>
      <c r="C170" s="25" t="s">
        <v>1148</v>
      </c>
      <c r="D170" s="25" t="s">
        <v>1149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</v>
      </c>
      <c r="K170" s="31">
        <f>1131</f>
        <v>1131</v>
      </c>
      <c r="L170" s="32" t="s">
        <v>1110</v>
      </c>
      <c r="M170" s="31">
        <f>1206</f>
        <v>1206</v>
      </c>
      <c r="N170" s="32" t="s">
        <v>1117</v>
      </c>
      <c r="O170" s="31">
        <f>1120</f>
        <v>1120</v>
      </c>
      <c r="P170" s="32" t="s">
        <v>883</v>
      </c>
      <c r="Q170" s="31">
        <f>1127</f>
        <v>1127</v>
      </c>
      <c r="R170" s="32" t="s">
        <v>883</v>
      </c>
      <c r="S170" s="33">
        <f>1167.45</f>
        <v>1167.45</v>
      </c>
      <c r="T170" s="30">
        <f>2003338</f>
        <v>2003338</v>
      </c>
      <c r="U170" s="30">
        <f>80</f>
        <v>80</v>
      </c>
      <c r="V170" s="30">
        <f>2338737632</f>
        <v>2338737632</v>
      </c>
      <c r="W170" s="30">
        <f>95040</f>
        <v>95040</v>
      </c>
      <c r="X170" s="34">
        <f>20</f>
        <v>20</v>
      </c>
    </row>
    <row r="171" spans="1:24">
      <c r="A171" s="25" t="s">
        <v>1237</v>
      </c>
      <c r="B171" s="25" t="s">
        <v>1151</v>
      </c>
      <c r="C171" s="25" t="s">
        <v>1152</v>
      </c>
      <c r="D171" s="25" t="s">
        <v>1153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295</f>
        <v>295</v>
      </c>
      <c r="L171" s="32" t="s">
        <v>1110</v>
      </c>
      <c r="M171" s="31">
        <f>297.6</f>
        <v>297.60000000000002</v>
      </c>
      <c r="N171" s="32" t="s">
        <v>1124</v>
      </c>
      <c r="O171" s="31">
        <f>284.1</f>
        <v>284.10000000000002</v>
      </c>
      <c r="P171" s="32" t="s">
        <v>1117</v>
      </c>
      <c r="Q171" s="31">
        <f>294.3</f>
        <v>294.3</v>
      </c>
      <c r="R171" s="32" t="s">
        <v>883</v>
      </c>
      <c r="S171" s="33">
        <f>289.54</f>
        <v>289.54000000000002</v>
      </c>
      <c r="T171" s="30">
        <f>3513650</f>
        <v>3513650</v>
      </c>
      <c r="U171" s="30">
        <f>50</f>
        <v>50</v>
      </c>
      <c r="V171" s="30">
        <f>1012551724</f>
        <v>1012551724</v>
      </c>
      <c r="W171" s="30">
        <f>14851</f>
        <v>14851</v>
      </c>
      <c r="X171" s="34">
        <f>20</f>
        <v>20</v>
      </c>
    </row>
    <row r="172" spans="1:24">
      <c r="A172" s="25" t="s">
        <v>1237</v>
      </c>
      <c r="B172" s="25" t="s">
        <v>1154</v>
      </c>
      <c r="C172" s="25" t="s">
        <v>1155</v>
      </c>
      <c r="D172" s="25" t="s">
        <v>1156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303.3</f>
        <v>303.3</v>
      </c>
      <c r="L172" s="32" t="s">
        <v>1110</v>
      </c>
      <c r="M172" s="31">
        <f>309</f>
        <v>309</v>
      </c>
      <c r="N172" s="32" t="s">
        <v>677</v>
      </c>
      <c r="O172" s="31">
        <f>300.2</f>
        <v>300.2</v>
      </c>
      <c r="P172" s="32" t="s">
        <v>874</v>
      </c>
      <c r="Q172" s="31">
        <f>302.4</f>
        <v>302.39999999999998</v>
      </c>
      <c r="R172" s="32" t="s">
        <v>883</v>
      </c>
      <c r="S172" s="33">
        <f>304.38</f>
        <v>304.38</v>
      </c>
      <c r="T172" s="30">
        <f>767530</f>
        <v>767530</v>
      </c>
      <c r="U172" s="30">
        <f>16000</f>
        <v>16000</v>
      </c>
      <c r="V172" s="30">
        <f>233724416</f>
        <v>233724416</v>
      </c>
      <c r="W172" s="30">
        <f>4841600</f>
        <v>4841600</v>
      </c>
      <c r="X172" s="34">
        <f>20</f>
        <v>20</v>
      </c>
    </row>
    <row r="173" spans="1:24">
      <c r="A173" s="25" t="s">
        <v>1237</v>
      </c>
      <c r="B173" s="25" t="s">
        <v>1157</v>
      </c>
      <c r="C173" s="25" t="s">
        <v>1158</v>
      </c>
      <c r="D173" s="25" t="s">
        <v>1159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506.1</f>
        <v>506.1</v>
      </c>
      <c r="L173" s="32" t="s">
        <v>1110</v>
      </c>
      <c r="M173" s="31">
        <f>544.6</f>
        <v>544.6</v>
      </c>
      <c r="N173" s="32" t="s">
        <v>674</v>
      </c>
      <c r="O173" s="31">
        <f>494.1</f>
        <v>494.1</v>
      </c>
      <c r="P173" s="32" t="s">
        <v>883</v>
      </c>
      <c r="Q173" s="31">
        <f>494.1</f>
        <v>494.1</v>
      </c>
      <c r="R173" s="32" t="s">
        <v>883</v>
      </c>
      <c r="S173" s="33">
        <f>505.98</f>
        <v>505.98</v>
      </c>
      <c r="T173" s="30">
        <f>7260</f>
        <v>7260</v>
      </c>
      <c r="U173" s="30" t="str">
        <f>"－"</f>
        <v>－</v>
      </c>
      <c r="V173" s="30">
        <f>3673191</f>
        <v>3673191</v>
      </c>
      <c r="W173" s="30" t="str">
        <f>"－"</f>
        <v>－</v>
      </c>
      <c r="X173" s="34">
        <f>17</f>
        <v>17</v>
      </c>
    </row>
    <row r="174" spans="1:24">
      <c r="A174" s="25" t="s">
        <v>1237</v>
      </c>
      <c r="B174" s="25" t="s">
        <v>1161</v>
      </c>
      <c r="C174" s="25" t="s">
        <v>1162</v>
      </c>
      <c r="D174" s="25" t="s">
        <v>1163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527.8</f>
        <v>527.79999999999995</v>
      </c>
      <c r="L174" s="32" t="s">
        <v>1110</v>
      </c>
      <c r="M174" s="31">
        <f>542</f>
        <v>542</v>
      </c>
      <c r="N174" s="32" t="s">
        <v>1124</v>
      </c>
      <c r="O174" s="31">
        <f>506.8</f>
        <v>506.8</v>
      </c>
      <c r="P174" s="32" t="s">
        <v>678</v>
      </c>
      <c r="Q174" s="31">
        <f>514.5</f>
        <v>514.5</v>
      </c>
      <c r="R174" s="32" t="s">
        <v>883</v>
      </c>
      <c r="S174" s="33">
        <f>519.05</f>
        <v>519.04999999999995</v>
      </c>
      <c r="T174" s="30">
        <f>3700</f>
        <v>3700</v>
      </c>
      <c r="U174" s="30" t="str">
        <f>"－"</f>
        <v>－</v>
      </c>
      <c r="V174" s="30">
        <f>1915999</f>
        <v>1915999</v>
      </c>
      <c r="W174" s="30" t="str">
        <f>"－"</f>
        <v>－</v>
      </c>
      <c r="X174" s="34">
        <f>18</f>
        <v>18</v>
      </c>
    </row>
    <row r="175" spans="1:24">
      <c r="A175" s="25" t="s">
        <v>1237</v>
      </c>
      <c r="B175" s="25" t="s">
        <v>1164</v>
      </c>
      <c r="C175" s="25" t="s">
        <v>1165</v>
      </c>
      <c r="D175" s="25" t="s">
        <v>1166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510.8</f>
        <v>510.8</v>
      </c>
      <c r="L175" s="32" t="s">
        <v>1110</v>
      </c>
      <c r="M175" s="31">
        <f>527.3</f>
        <v>527.29999999999995</v>
      </c>
      <c r="N175" s="32" t="s">
        <v>1124</v>
      </c>
      <c r="O175" s="31">
        <f>490</f>
        <v>490</v>
      </c>
      <c r="P175" s="32" t="s">
        <v>678</v>
      </c>
      <c r="Q175" s="31">
        <f>513.1</f>
        <v>513.1</v>
      </c>
      <c r="R175" s="32" t="s">
        <v>883</v>
      </c>
      <c r="S175" s="33">
        <f>505.76</f>
        <v>505.76</v>
      </c>
      <c r="T175" s="30">
        <f>1623940</f>
        <v>1623940</v>
      </c>
      <c r="U175" s="30">
        <f>1600010</f>
        <v>1600010</v>
      </c>
      <c r="V175" s="30">
        <f>814726718</f>
        <v>814726718</v>
      </c>
      <c r="W175" s="30">
        <f>802740831</f>
        <v>802740831</v>
      </c>
      <c r="X175" s="34">
        <f>19</f>
        <v>19</v>
      </c>
    </row>
    <row r="176" spans="1:24">
      <c r="A176" s="25" t="s">
        <v>1237</v>
      </c>
      <c r="B176" s="25" t="s">
        <v>1168</v>
      </c>
      <c r="C176" s="25" t="s">
        <v>1169</v>
      </c>
      <c r="D176" s="25" t="s">
        <v>1170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1003</f>
        <v>1003</v>
      </c>
      <c r="L176" s="32" t="s">
        <v>1110</v>
      </c>
      <c r="M176" s="31">
        <f>1020</f>
        <v>1020</v>
      </c>
      <c r="N176" s="32" t="s">
        <v>676</v>
      </c>
      <c r="O176" s="31">
        <f>967</f>
        <v>967</v>
      </c>
      <c r="P176" s="32" t="s">
        <v>883</v>
      </c>
      <c r="Q176" s="31">
        <f>978</f>
        <v>978</v>
      </c>
      <c r="R176" s="32" t="s">
        <v>883</v>
      </c>
      <c r="S176" s="33">
        <f>997.45</f>
        <v>997.45</v>
      </c>
      <c r="T176" s="30">
        <f>513783</f>
        <v>513783</v>
      </c>
      <c r="U176" s="30">
        <f>4</f>
        <v>4</v>
      </c>
      <c r="V176" s="30">
        <f>511611895</f>
        <v>511611895</v>
      </c>
      <c r="W176" s="30">
        <f>3915</f>
        <v>3915</v>
      </c>
      <c r="X176" s="34">
        <f>20</f>
        <v>20</v>
      </c>
    </row>
    <row r="177" spans="1:24">
      <c r="A177" s="25" t="s">
        <v>1237</v>
      </c>
      <c r="B177" s="25" t="s">
        <v>1173</v>
      </c>
      <c r="C177" s="25" t="s">
        <v>1174</v>
      </c>
      <c r="D177" s="25" t="s">
        <v>1175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1628</f>
        <v>1628</v>
      </c>
      <c r="L177" s="32" t="s">
        <v>1110</v>
      </c>
      <c r="M177" s="31">
        <f>1747</f>
        <v>1747</v>
      </c>
      <c r="N177" s="32" t="s">
        <v>1115</v>
      </c>
      <c r="O177" s="31">
        <f>1546</f>
        <v>1546</v>
      </c>
      <c r="P177" s="32" t="s">
        <v>1114</v>
      </c>
      <c r="Q177" s="31">
        <f>1565</f>
        <v>1565</v>
      </c>
      <c r="R177" s="32" t="s">
        <v>883</v>
      </c>
      <c r="S177" s="33">
        <f>1636.8</f>
        <v>1636.8</v>
      </c>
      <c r="T177" s="30">
        <f>2794864</f>
        <v>2794864</v>
      </c>
      <c r="U177" s="30">
        <f>487670</f>
        <v>487670</v>
      </c>
      <c r="V177" s="30">
        <f>4630171018</f>
        <v>4630171018</v>
      </c>
      <c r="W177" s="30">
        <f>824140505</f>
        <v>824140505</v>
      </c>
      <c r="X177" s="34">
        <f>20</f>
        <v>20</v>
      </c>
    </row>
    <row r="178" spans="1:24">
      <c r="A178" s="25" t="s">
        <v>1237</v>
      </c>
      <c r="B178" s="25" t="s">
        <v>1054</v>
      </c>
      <c r="C178" s="25" t="s">
        <v>1055</v>
      </c>
      <c r="D178" s="25" t="s">
        <v>1056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565.3</f>
        <v>565.29999999999995</v>
      </c>
      <c r="L178" s="32" t="s">
        <v>1110</v>
      </c>
      <c r="M178" s="31">
        <f>583</f>
        <v>583</v>
      </c>
      <c r="N178" s="32" t="s">
        <v>1115</v>
      </c>
      <c r="O178" s="31">
        <f>561.1</f>
        <v>561.1</v>
      </c>
      <c r="P178" s="32" t="s">
        <v>1110</v>
      </c>
      <c r="Q178" s="31">
        <f>568.9</f>
        <v>568.9</v>
      </c>
      <c r="R178" s="32" t="s">
        <v>883</v>
      </c>
      <c r="S178" s="33">
        <f>572.78</f>
        <v>572.78</v>
      </c>
      <c r="T178" s="30">
        <f>1079560</f>
        <v>1079560</v>
      </c>
      <c r="U178" s="30">
        <f>52000</f>
        <v>52000</v>
      </c>
      <c r="V178" s="30">
        <f>618215032</f>
        <v>618215032</v>
      </c>
      <c r="W178" s="30">
        <f>30206800</f>
        <v>30206800</v>
      </c>
      <c r="X178" s="34">
        <f>20</f>
        <v>20</v>
      </c>
    </row>
    <row r="179" spans="1:24">
      <c r="A179" s="25" t="s">
        <v>1237</v>
      </c>
      <c r="B179" s="25" t="s">
        <v>1083</v>
      </c>
      <c r="C179" s="25" t="s">
        <v>1084</v>
      </c>
      <c r="D179" s="25" t="s">
        <v>1085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215.7</f>
        <v>215.7</v>
      </c>
      <c r="L179" s="32" t="s">
        <v>1110</v>
      </c>
      <c r="M179" s="31">
        <f>222.7</f>
        <v>222.7</v>
      </c>
      <c r="N179" s="32" t="s">
        <v>875</v>
      </c>
      <c r="O179" s="31">
        <f>213.3</f>
        <v>213.3</v>
      </c>
      <c r="P179" s="32" t="s">
        <v>883</v>
      </c>
      <c r="Q179" s="31">
        <f>213.7</f>
        <v>213.7</v>
      </c>
      <c r="R179" s="32" t="s">
        <v>883</v>
      </c>
      <c r="S179" s="33">
        <f>218.48</f>
        <v>218.48</v>
      </c>
      <c r="T179" s="30">
        <f>32342730</f>
        <v>32342730</v>
      </c>
      <c r="U179" s="30">
        <f>31265580</f>
        <v>31265580</v>
      </c>
      <c r="V179" s="30">
        <f>7098424779</f>
        <v>7098424779</v>
      </c>
      <c r="W179" s="30">
        <f>6866453736</f>
        <v>6866453736</v>
      </c>
      <c r="X179" s="34">
        <f>20</f>
        <v>20</v>
      </c>
    </row>
    <row r="180" spans="1:24">
      <c r="A180" s="25" t="s">
        <v>1237</v>
      </c>
      <c r="B180" s="25" t="s">
        <v>1087</v>
      </c>
      <c r="C180" s="25" t="s">
        <v>1088</v>
      </c>
      <c r="D180" s="25" t="s">
        <v>1089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240</f>
        <v>240</v>
      </c>
      <c r="L180" s="32" t="s">
        <v>1110</v>
      </c>
      <c r="M180" s="31">
        <f>250</f>
        <v>250</v>
      </c>
      <c r="N180" s="32" t="s">
        <v>679</v>
      </c>
      <c r="O180" s="31">
        <f>239.4</f>
        <v>239.4</v>
      </c>
      <c r="P180" s="32" t="s">
        <v>674</v>
      </c>
      <c r="Q180" s="31">
        <f>243</f>
        <v>243</v>
      </c>
      <c r="R180" s="32" t="s">
        <v>883</v>
      </c>
      <c r="S180" s="33">
        <f>245.36</f>
        <v>245.36</v>
      </c>
      <c r="T180" s="30">
        <f>6248360</f>
        <v>6248360</v>
      </c>
      <c r="U180" s="30">
        <f>1247360</f>
        <v>1247360</v>
      </c>
      <c r="V180" s="30">
        <f>1529639998</f>
        <v>1529639998</v>
      </c>
      <c r="W180" s="30">
        <f>302666916</f>
        <v>302666916</v>
      </c>
      <c r="X180" s="34">
        <f>20</f>
        <v>20</v>
      </c>
    </row>
    <row r="181" spans="1:24">
      <c r="A181" s="25" t="s">
        <v>1237</v>
      </c>
      <c r="B181" s="25" t="s">
        <v>1090</v>
      </c>
      <c r="C181" s="25" t="s">
        <v>1091</v>
      </c>
      <c r="D181" s="25" t="s">
        <v>1092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241.1</f>
        <v>241.1</v>
      </c>
      <c r="L181" s="32" t="s">
        <v>1110</v>
      </c>
      <c r="M181" s="31">
        <f>254.4</f>
        <v>254.4</v>
      </c>
      <c r="N181" s="32" t="s">
        <v>1115</v>
      </c>
      <c r="O181" s="31">
        <f>240.6</f>
        <v>240.6</v>
      </c>
      <c r="P181" s="32" t="s">
        <v>1110</v>
      </c>
      <c r="Q181" s="31">
        <f>249.2</f>
        <v>249.2</v>
      </c>
      <c r="R181" s="32" t="s">
        <v>883</v>
      </c>
      <c r="S181" s="33">
        <f>249.83</f>
        <v>249.83</v>
      </c>
      <c r="T181" s="30">
        <f>5444050</f>
        <v>5444050</v>
      </c>
      <c r="U181" s="30">
        <f>1630000</f>
        <v>1630000</v>
      </c>
      <c r="V181" s="30">
        <f>1359684342</f>
        <v>1359684342</v>
      </c>
      <c r="W181" s="30">
        <f>409732000</f>
        <v>409732000</v>
      </c>
      <c r="X181" s="34">
        <f>20</f>
        <v>20</v>
      </c>
    </row>
    <row r="182" spans="1:24">
      <c r="A182" s="25" t="s">
        <v>1237</v>
      </c>
      <c r="B182" s="25" t="s">
        <v>1093</v>
      </c>
      <c r="C182" s="25" t="s">
        <v>1094</v>
      </c>
      <c r="D182" s="25" t="s">
        <v>1095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2071</f>
        <v>2071</v>
      </c>
      <c r="L182" s="32" t="s">
        <v>1110</v>
      </c>
      <c r="M182" s="31">
        <f>2198</f>
        <v>2198</v>
      </c>
      <c r="N182" s="32" t="s">
        <v>875</v>
      </c>
      <c r="O182" s="31">
        <f>2036</f>
        <v>2036</v>
      </c>
      <c r="P182" s="32" t="s">
        <v>883</v>
      </c>
      <c r="Q182" s="31">
        <f>2042</f>
        <v>2042</v>
      </c>
      <c r="R182" s="32" t="s">
        <v>883</v>
      </c>
      <c r="S182" s="33">
        <f>2079.2</f>
        <v>2079.1999999999998</v>
      </c>
      <c r="T182" s="30">
        <f>211479</f>
        <v>211479</v>
      </c>
      <c r="U182" s="30">
        <f>2</f>
        <v>2</v>
      </c>
      <c r="V182" s="30">
        <f>445456887</f>
        <v>445456887</v>
      </c>
      <c r="W182" s="30">
        <f>4174</f>
        <v>4174</v>
      </c>
      <c r="X182" s="34">
        <f>20</f>
        <v>20</v>
      </c>
    </row>
    <row r="183" spans="1:24">
      <c r="A183" s="25" t="s">
        <v>1237</v>
      </c>
      <c r="B183" s="25" t="s">
        <v>1096</v>
      </c>
      <c r="C183" s="25" t="s">
        <v>1097</v>
      </c>
      <c r="D183" s="25" t="s">
        <v>1098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1918</f>
        <v>1918</v>
      </c>
      <c r="L183" s="32" t="s">
        <v>1110</v>
      </c>
      <c r="M183" s="31">
        <f>1922</f>
        <v>1922</v>
      </c>
      <c r="N183" s="32" t="s">
        <v>674</v>
      </c>
      <c r="O183" s="31">
        <f>1887</f>
        <v>1887</v>
      </c>
      <c r="P183" s="32" t="s">
        <v>874</v>
      </c>
      <c r="Q183" s="31">
        <f>1911</f>
        <v>1911</v>
      </c>
      <c r="R183" s="32" t="s">
        <v>883</v>
      </c>
      <c r="S183" s="33">
        <f>1902.3</f>
        <v>1902.3</v>
      </c>
      <c r="T183" s="30">
        <f>300467</f>
        <v>300467</v>
      </c>
      <c r="U183" s="30">
        <f>4</f>
        <v>4</v>
      </c>
      <c r="V183" s="30">
        <f>570275907</f>
        <v>570275907</v>
      </c>
      <c r="W183" s="30">
        <f>7638</f>
        <v>7638</v>
      </c>
      <c r="X183" s="34">
        <f>20</f>
        <v>20</v>
      </c>
    </row>
    <row r="184" spans="1:24">
      <c r="A184" s="25" t="s">
        <v>1237</v>
      </c>
      <c r="B184" s="25" t="s">
        <v>1099</v>
      </c>
      <c r="C184" s="25" t="s">
        <v>1100</v>
      </c>
      <c r="D184" s="25" t="s">
        <v>1101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1050</f>
        <v>1050</v>
      </c>
      <c r="L184" s="32" t="s">
        <v>1110</v>
      </c>
      <c r="M184" s="31">
        <f>1097</f>
        <v>1097</v>
      </c>
      <c r="N184" s="32" t="s">
        <v>677</v>
      </c>
      <c r="O184" s="31">
        <f>1041</f>
        <v>1041</v>
      </c>
      <c r="P184" s="32" t="s">
        <v>1114</v>
      </c>
      <c r="Q184" s="31">
        <f>1051</f>
        <v>1051</v>
      </c>
      <c r="R184" s="32" t="s">
        <v>883</v>
      </c>
      <c r="S184" s="33">
        <f>1064.35</f>
        <v>1064.3499999999999</v>
      </c>
      <c r="T184" s="30">
        <f>3577711</f>
        <v>3577711</v>
      </c>
      <c r="U184" s="30">
        <f>400000</f>
        <v>400000</v>
      </c>
      <c r="V184" s="30">
        <f>3834451209</f>
        <v>3834451209</v>
      </c>
      <c r="W184" s="30">
        <f>431122640</f>
        <v>431122640</v>
      </c>
      <c r="X184" s="34">
        <f>20</f>
        <v>20</v>
      </c>
    </row>
    <row r="185" spans="1:24">
      <c r="A185" s="25" t="s">
        <v>1237</v>
      </c>
      <c r="B185" s="25" t="s">
        <v>1103</v>
      </c>
      <c r="C185" s="25" t="s">
        <v>1104</v>
      </c>
      <c r="D185" s="25" t="s">
        <v>1105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1184</f>
        <v>1184</v>
      </c>
      <c r="L185" s="32" t="s">
        <v>1110</v>
      </c>
      <c r="M185" s="31">
        <f>1225</f>
        <v>1225</v>
      </c>
      <c r="N185" s="32" t="s">
        <v>1114</v>
      </c>
      <c r="O185" s="31">
        <f>1164</f>
        <v>1164</v>
      </c>
      <c r="P185" s="32" t="s">
        <v>1115</v>
      </c>
      <c r="Q185" s="31">
        <f>1205</f>
        <v>1205</v>
      </c>
      <c r="R185" s="32" t="s">
        <v>883</v>
      </c>
      <c r="S185" s="33">
        <f>1193.45</f>
        <v>1193.45</v>
      </c>
      <c r="T185" s="30">
        <f>150548</f>
        <v>150548</v>
      </c>
      <c r="U185" s="30" t="str">
        <f>"－"</f>
        <v>－</v>
      </c>
      <c r="V185" s="30">
        <f>178843515</f>
        <v>178843515</v>
      </c>
      <c r="W185" s="30" t="str">
        <f>"－"</f>
        <v>－</v>
      </c>
      <c r="X185" s="34">
        <f>20</f>
        <v>20</v>
      </c>
    </row>
    <row r="186" spans="1:24">
      <c r="A186" s="25" t="s">
        <v>1237</v>
      </c>
      <c r="B186" s="25" t="s">
        <v>1106</v>
      </c>
      <c r="C186" s="25" t="s">
        <v>1107</v>
      </c>
      <c r="D186" s="25" t="s">
        <v>1108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1070</f>
        <v>1070</v>
      </c>
      <c r="L186" s="32" t="s">
        <v>1110</v>
      </c>
      <c r="M186" s="31">
        <f>1105</f>
        <v>1105</v>
      </c>
      <c r="N186" s="32" t="s">
        <v>1115</v>
      </c>
      <c r="O186" s="31">
        <f>1047</f>
        <v>1047</v>
      </c>
      <c r="P186" s="32" t="s">
        <v>883</v>
      </c>
      <c r="Q186" s="31">
        <f>1051</f>
        <v>1051</v>
      </c>
      <c r="R186" s="32" t="s">
        <v>883</v>
      </c>
      <c r="S186" s="33">
        <f>1079.45</f>
        <v>1079.45</v>
      </c>
      <c r="T186" s="30">
        <f>56911</f>
        <v>56911</v>
      </c>
      <c r="U186" s="30">
        <f>90</f>
        <v>90</v>
      </c>
      <c r="V186" s="30">
        <f>60979378</f>
        <v>60979378</v>
      </c>
      <c r="W186" s="30">
        <f>97200</f>
        <v>97200</v>
      </c>
      <c r="X186" s="34">
        <f>20</f>
        <v>20</v>
      </c>
    </row>
    <row r="187" spans="1:24">
      <c r="A187" s="25" t="s">
        <v>1237</v>
      </c>
      <c r="B187" s="25" t="s">
        <v>1177</v>
      </c>
      <c r="C187" s="25" t="s">
        <v>1178</v>
      </c>
      <c r="D187" s="25" t="s">
        <v>1179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10</v>
      </c>
      <c r="K187" s="31">
        <f>199.7</f>
        <v>199.7</v>
      </c>
      <c r="L187" s="32" t="s">
        <v>1110</v>
      </c>
      <c r="M187" s="31">
        <f>204.1</f>
        <v>204.1</v>
      </c>
      <c r="N187" s="32" t="s">
        <v>1115</v>
      </c>
      <c r="O187" s="31">
        <f>194.6</f>
        <v>194.6</v>
      </c>
      <c r="P187" s="32" t="s">
        <v>874</v>
      </c>
      <c r="Q187" s="31">
        <f>196.5</f>
        <v>196.5</v>
      </c>
      <c r="R187" s="32" t="s">
        <v>883</v>
      </c>
      <c r="S187" s="33">
        <f>199.4</f>
        <v>199.4</v>
      </c>
      <c r="T187" s="30">
        <f>5852540</f>
        <v>5852540</v>
      </c>
      <c r="U187" s="30">
        <f>257220</f>
        <v>257220</v>
      </c>
      <c r="V187" s="30">
        <f>1166375318</f>
        <v>1166375318</v>
      </c>
      <c r="W187" s="30">
        <f>51338127</f>
        <v>51338127</v>
      </c>
      <c r="X187" s="34">
        <f>20</f>
        <v>20</v>
      </c>
    </row>
    <row r="188" spans="1:24">
      <c r="A188" s="25" t="s">
        <v>1237</v>
      </c>
      <c r="B188" s="25" t="s">
        <v>462</v>
      </c>
      <c r="C188" s="25" t="s">
        <v>463</v>
      </c>
      <c r="D188" s="25" t="s">
        <v>464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5770</f>
        <v>5770</v>
      </c>
      <c r="L188" s="32" t="s">
        <v>1110</v>
      </c>
      <c r="M188" s="31">
        <f>6352</f>
        <v>6352</v>
      </c>
      <c r="N188" s="32" t="s">
        <v>1113</v>
      </c>
      <c r="O188" s="31">
        <f>5056</f>
        <v>5056</v>
      </c>
      <c r="P188" s="32" t="s">
        <v>679</v>
      </c>
      <c r="Q188" s="31">
        <f>5100</f>
        <v>5100</v>
      </c>
      <c r="R188" s="32" t="s">
        <v>883</v>
      </c>
      <c r="S188" s="33">
        <f>5492.9</f>
        <v>5492.9</v>
      </c>
      <c r="T188" s="30">
        <f>58597</f>
        <v>58597</v>
      </c>
      <c r="U188" s="30" t="str">
        <f>"－"</f>
        <v>－</v>
      </c>
      <c r="V188" s="30">
        <f>331911218</f>
        <v>331911218</v>
      </c>
      <c r="W188" s="30" t="str">
        <f>"－"</f>
        <v>－</v>
      </c>
      <c r="X188" s="34">
        <f>20</f>
        <v>20</v>
      </c>
    </row>
    <row r="189" spans="1:24">
      <c r="A189" s="25" t="s">
        <v>1237</v>
      </c>
      <c r="B189" s="25" t="s">
        <v>466</v>
      </c>
      <c r="C189" s="25" t="s">
        <v>467</v>
      </c>
      <c r="D189" s="25" t="s">
        <v>468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7882</f>
        <v>7882</v>
      </c>
      <c r="L189" s="32" t="s">
        <v>1110</v>
      </c>
      <c r="M189" s="31">
        <f>8750</f>
        <v>8750</v>
      </c>
      <c r="N189" s="32" t="s">
        <v>676</v>
      </c>
      <c r="O189" s="31">
        <f>7501</f>
        <v>7501</v>
      </c>
      <c r="P189" s="32" t="s">
        <v>1113</v>
      </c>
      <c r="Q189" s="31">
        <f>8333</f>
        <v>8333</v>
      </c>
      <c r="R189" s="32" t="s">
        <v>883</v>
      </c>
      <c r="S189" s="33">
        <f>8266.4</f>
        <v>8266.4</v>
      </c>
      <c r="T189" s="30">
        <f>18455</f>
        <v>18455</v>
      </c>
      <c r="U189" s="30" t="str">
        <f>"－"</f>
        <v>－</v>
      </c>
      <c r="V189" s="30">
        <f>152297252</f>
        <v>152297252</v>
      </c>
      <c r="W189" s="30" t="str">
        <f>"－"</f>
        <v>－</v>
      </c>
      <c r="X189" s="34">
        <f>20</f>
        <v>20</v>
      </c>
    </row>
    <row r="190" spans="1:24">
      <c r="A190" s="25" t="s">
        <v>1237</v>
      </c>
      <c r="B190" s="25" t="s">
        <v>469</v>
      </c>
      <c r="C190" s="25" t="s">
        <v>470</v>
      </c>
      <c r="D190" s="25" t="s">
        <v>471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11230</f>
        <v>11230</v>
      </c>
      <c r="L190" s="32" t="s">
        <v>1110</v>
      </c>
      <c r="M190" s="31">
        <f>11665</f>
        <v>11665</v>
      </c>
      <c r="N190" s="32" t="s">
        <v>1113</v>
      </c>
      <c r="O190" s="31">
        <f>9980</f>
        <v>9980</v>
      </c>
      <c r="P190" s="32" t="s">
        <v>875</v>
      </c>
      <c r="Q190" s="31">
        <f>10150</f>
        <v>10150</v>
      </c>
      <c r="R190" s="32" t="s">
        <v>883</v>
      </c>
      <c r="S190" s="33">
        <f>10717.89</f>
        <v>10717.89</v>
      </c>
      <c r="T190" s="30">
        <f>2739</f>
        <v>2739</v>
      </c>
      <c r="U190" s="30" t="str">
        <f>"－"</f>
        <v>－</v>
      </c>
      <c r="V190" s="30">
        <f>28565408</f>
        <v>28565408</v>
      </c>
      <c r="W190" s="30" t="str">
        <f>"－"</f>
        <v>－</v>
      </c>
      <c r="X190" s="34">
        <f>19</f>
        <v>19</v>
      </c>
    </row>
    <row r="191" spans="1:24">
      <c r="A191" s="25" t="s">
        <v>1237</v>
      </c>
      <c r="B191" s="25" t="s">
        <v>472</v>
      </c>
      <c r="C191" s="25" t="s">
        <v>473</v>
      </c>
      <c r="D191" s="25" t="s">
        <v>474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7965</f>
        <v>7965</v>
      </c>
      <c r="L191" s="32" t="s">
        <v>1110</v>
      </c>
      <c r="M191" s="31">
        <f>8590</f>
        <v>8590</v>
      </c>
      <c r="N191" s="32" t="s">
        <v>875</v>
      </c>
      <c r="O191" s="31">
        <f>7841</f>
        <v>7841</v>
      </c>
      <c r="P191" s="32" t="s">
        <v>1113</v>
      </c>
      <c r="Q191" s="31">
        <f>8175</f>
        <v>8175</v>
      </c>
      <c r="R191" s="32" t="s">
        <v>883</v>
      </c>
      <c r="S191" s="33">
        <f>8177.2</f>
        <v>8177.2</v>
      </c>
      <c r="T191" s="30">
        <f>8554</f>
        <v>8554</v>
      </c>
      <c r="U191" s="30" t="str">
        <f>"－"</f>
        <v>－</v>
      </c>
      <c r="V191" s="30">
        <f>69847108</f>
        <v>69847108</v>
      </c>
      <c r="W191" s="30" t="str">
        <f>"－"</f>
        <v>－</v>
      </c>
      <c r="X191" s="34">
        <f>20</f>
        <v>20</v>
      </c>
    </row>
    <row r="192" spans="1:24">
      <c r="A192" s="25" t="s">
        <v>1237</v>
      </c>
      <c r="B192" s="25" t="s">
        <v>475</v>
      </c>
      <c r="C192" s="25" t="s">
        <v>476</v>
      </c>
      <c r="D192" s="25" t="s">
        <v>477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72950</f>
        <v>72950</v>
      </c>
      <c r="L192" s="32" t="s">
        <v>1110</v>
      </c>
      <c r="M192" s="31">
        <f>74740</f>
        <v>74740</v>
      </c>
      <c r="N192" s="32" t="s">
        <v>1124</v>
      </c>
      <c r="O192" s="31">
        <f>65000</f>
        <v>65000</v>
      </c>
      <c r="P192" s="32" t="s">
        <v>678</v>
      </c>
      <c r="Q192" s="31">
        <f>66780</f>
        <v>66780</v>
      </c>
      <c r="R192" s="32" t="s">
        <v>883</v>
      </c>
      <c r="S192" s="33">
        <f>69351</f>
        <v>69351</v>
      </c>
      <c r="T192" s="30">
        <f>115177</f>
        <v>115177</v>
      </c>
      <c r="U192" s="30">
        <f>31</f>
        <v>31</v>
      </c>
      <c r="V192" s="30">
        <f>8027703670</f>
        <v>8027703670</v>
      </c>
      <c r="W192" s="30">
        <f>2201420</f>
        <v>2201420</v>
      </c>
      <c r="X192" s="34">
        <f>20</f>
        <v>20</v>
      </c>
    </row>
    <row r="193" spans="1:24">
      <c r="A193" s="25" t="s">
        <v>1237</v>
      </c>
      <c r="B193" s="25" t="s">
        <v>478</v>
      </c>
      <c r="C193" s="25" t="s">
        <v>479</v>
      </c>
      <c r="D193" s="25" t="s">
        <v>480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2432</f>
        <v>2432</v>
      </c>
      <c r="L193" s="32" t="s">
        <v>1110</v>
      </c>
      <c r="M193" s="31">
        <f>2813</f>
        <v>2813</v>
      </c>
      <c r="N193" s="32" t="s">
        <v>678</v>
      </c>
      <c r="O193" s="31">
        <f>2345</f>
        <v>2345</v>
      </c>
      <c r="P193" s="32" t="s">
        <v>1113</v>
      </c>
      <c r="Q193" s="31">
        <f>2493</f>
        <v>2493</v>
      </c>
      <c r="R193" s="32" t="s">
        <v>883</v>
      </c>
      <c r="S193" s="33">
        <f>2467.75</f>
        <v>2467.75</v>
      </c>
      <c r="T193" s="30">
        <f>57566</f>
        <v>57566</v>
      </c>
      <c r="U193" s="30" t="str">
        <f>"－"</f>
        <v>－</v>
      </c>
      <c r="V193" s="30">
        <f>144492680</f>
        <v>144492680</v>
      </c>
      <c r="W193" s="30" t="str">
        <f>"－"</f>
        <v>－</v>
      </c>
      <c r="X193" s="34">
        <f>20</f>
        <v>20</v>
      </c>
    </row>
    <row r="194" spans="1:24">
      <c r="A194" s="25" t="s">
        <v>1237</v>
      </c>
      <c r="B194" s="25" t="s">
        <v>481</v>
      </c>
      <c r="C194" s="25" t="s">
        <v>482</v>
      </c>
      <c r="D194" s="25" t="s">
        <v>483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1777</f>
        <v>1777</v>
      </c>
      <c r="L194" s="32" t="s">
        <v>1110</v>
      </c>
      <c r="M194" s="31">
        <f>1901</f>
        <v>1901</v>
      </c>
      <c r="N194" s="32" t="s">
        <v>1115</v>
      </c>
      <c r="O194" s="31">
        <f>1695</f>
        <v>1695</v>
      </c>
      <c r="P194" s="32" t="s">
        <v>883</v>
      </c>
      <c r="Q194" s="31">
        <f>1718</f>
        <v>1718</v>
      </c>
      <c r="R194" s="32" t="s">
        <v>883</v>
      </c>
      <c r="S194" s="33">
        <f>1789.4</f>
        <v>1789.4</v>
      </c>
      <c r="T194" s="30">
        <f>6892954</f>
        <v>6892954</v>
      </c>
      <c r="U194" s="30">
        <f>545</f>
        <v>545</v>
      </c>
      <c r="V194" s="30">
        <f>12430012261</f>
        <v>12430012261</v>
      </c>
      <c r="W194" s="30">
        <f>928500</f>
        <v>928500</v>
      </c>
      <c r="X194" s="34">
        <f>20</f>
        <v>20</v>
      </c>
    </row>
    <row r="195" spans="1:24">
      <c r="A195" s="25" t="s">
        <v>1237</v>
      </c>
      <c r="B195" s="25" t="s">
        <v>484</v>
      </c>
      <c r="C195" s="25" t="s">
        <v>485</v>
      </c>
      <c r="D195" s="25" t="s">
        <v>486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973</f>
        <v>973</v>
      </c>
      <c r="L195" s="32" t="s">
        <v>1110</v>
      </c>
      <c r="M195" s="31">
        <f>991</f>
        <v>991</v>
      </c>
      <c r="N195" s="32" t="s">
        <v>678</v>
      </c>
      <c r="O195" s="31">
        <f>950</f>
        <v>950</v>
      </c>
      <c r="P195" s="32" t="s">
        <v>1115</v>
      </c>
      <c r="Q195" s="31">
        <f>986</f>
        <v>986</v>
      </c>
      <c r="R195" s="32" t="s">
        <v>883</v>
      </c>
      <c r="S195" s="33">
        <f>972.45</f>
        <v>972.45</v>
      </c>
      <c r="T195" s="30">
        <f>1016452</f>
        <v>1016452</v>
      </c>
      <c r="U195" s="30">
        <f>15003</f>
        <v>15003</v>
      </c>
      <c r="V195" s="30">
        <f>989131582</f>
        <v>989131582</v>
      </c>
      <c r="W195" s="30">
        <f>14402911</f>
        <v>14402911</v>
      </c>
      <c r="X195" s="34">
        <f>20</f>
        <v>20</v>
      </c>
    </row>
    <row r="196" spans="1:24">
      <c r="A196" s="25" t="s">
        <v>1237</v>
      </c>
      <c r="B196" s="25" t="s">
        <v>487</v>
      </c>
      <c r="C196" s="25" t="s">
        <v>488</v>
      </c>
      <c r="D196" s="25" t="s">
        <v>489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30290</f>
        <v>30290</v>
      </c>
      <c r="L196" s="32" t="s">
        <v>1110</v>
      </c>
      <c r="M196" s="31">
        <f>34400</f>
        <v>34400</v>
      </c>
      <c r="N196" s="32" t="s">
        <v>679</v>
      </c>
      <c r="O196" s="31">
        <f>30170</f>
        <v>30170</v>
      </c>
      <c r="P196" s="32" t="s">
        <v>1110</v>
      </c>
      <c r="Q196" s="31">
        <f>34270</f>
        <v>34270</v>
      </c>
      <c r="R196" s="32" t="s">
        <v>883</v>
      </c>
      <c r="S196" s="33">
        <f>32919</f>
        <v>32919</v>
      </c>
      <c r="T196" s="30">
        <f>38136</f>
        <v>38136</v>
      </c>
      <c r="U196" s="30" t="str">
        <f t="shared" ref="U196:U201" si="3">"－"</f>
        <v>－</v>
      </c>
      <c r="V196" s="30">
        <f>1259327770</f>
        <v>1259327770</v>
      </c>
      <c r="W196" s="30" t="str">
        <f t="shared" ref="W196:W201" si="4">"－"</f>
        <v>－</v>
      </c>
      <c r="X196" s="34">
        <f>20</f>
        <v>20</v>
      </c>
    </row>
    <row r="197" spans="1:24">
      <c r="A197" s="25" t="s">
        <v>1237</v>
      </c>
      <c r="B197" s="25" t="s">
        <v>490</v>
      </c>
      <c r="C197" s="25" t="s">
        <v>491</v>
      </c>
      <c r="D197" s="25" t="s">
        <v>492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2430</f>
        <v>2430</v>
      </c>
      <c r="L197" s="32" t="s">
        <v>1110</v>
      </c>
      <c r="M197" s="31">
        <f>2434</f>
        <v>2434</v>
      </c>
      <c r="N197" s="32" t="s">
        <v>1110</v>
      </c>
      <c r="O197" s="31">
        <f>2276</f>
        <v>2276</v>
      </c>
      <c r="P197" s="32" t="s">
        <v>676</v>
      </c>
      <c r="Q197" s="31">
        <f>2284</f>
        <v>2284</v>
      </c>
      <c r="R197" s="32" t="s">
        <v>883</v>
      </c>
      <c r="S197" s="33">
        <f>2328.25</f>
        <v>2328.25</v>
      </c>
      <c r="T197" s="30">
        <f>182204</f>
        <v>182204</v>
      </c>
      <c r="U197" s="30" t="str">
        <f t="shared" si="3"/>
        <v>－</v>
      </c>
      <c r="V197" s="30">
        <f>425860494</f>
        <v>425860494</v>
      </c>
      <c r="W197" s="30" t="str">
        <f t="shared" si="4"/>
        <v>－</v>
      </c>
      <c r="X197" s="34">
        <f>20</f>
        <v>20</v>
      </c>
    </row>
    <row r="198" spans="1:24">
      <c r="A198" s="25" t="s">
        <v>1237</v>
      </c>
      <c r="B198" s="25" t="s">
        <v>493</v>
      </c>
      <c r="C198" s="25" t="s">
        <v>1057</v>
      </c>
      <c r="D198" s="25" t="s">
        <v>1058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6611</f>
        <v>6611</v>
      </c>
      <c r="L198" s="32" t="s">
        <v>1110</v>
      </c>
      <c r="M198" s="31">
        <f>6778</f>
        <v>6778</v>
      </c>
      <c r="N198" s="32" t="s">
        <v>676</v>
      </c>
      <c r="O198" s="31">
        <f>6476</f>
        <v>6476</v>
      </c>
      <c r="P198" s="32" t="s">
        <v>674</v>
      </c>
      <c r="Q198" s="31">
        <f>6749</f>
        <v>6749</v>
      </c>
      <c r="R198" s="32" t="s">
        <v>883</v>
      </c>
      <c r="S198" s="33">
        <f>6646.05</f>
        <v>6646.05</v>
      </c>
      <c r="T198" s="30">
        <f>37729</f>
        <v>37729</v>
      </c>
      <c r="U198" s="30" t="str">
        <f t="shared" si="3"/>
        <v>－</v>
      </c>
      <c r="V198" s="30">
        <f>250984285</f>
        <v>250984285</v>
      </c>
      <c r="W198" s="30" t="str">
        <f t="shared" si="4"/>
        <v>－</v>
      </c>
      <c r="X198" s="34">
        <f>20</f>
        <v>20</v>
      </c>
    </row>
    <row r="199" spans="1:24">
      <c r="A199" s="25" t="s">
        <v>1237</v>
      </c>
      <c r="B199" s="25" t="s">
        <v>494</v>
      </c>
      <c r="C199" s="25" t="s">
        <v>495</v>
      </c>
      <c r="D199" s="25" t="s">
        <v>496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20535</f>
        <v>20535</v>
      </c>
      <c r="L199" s="32" t="s">
        <v>1110</v>
      </c>
      <c r="M199" s="31">
        <f>21150</f>
        <v>21150</v>
      </c>
      <c r="N199" s="32" t="s">
        <v>1123</v>
      </c>
      <c r="O199" s="31">
        <f>20000</f>
        <v>20000</v>
      </c>
      <c r="P199" s="32" t="s">
        <v>674</v>
      </c>
      <c r="Q199" s="31">
        <f>20300</f>
        <v>20300</v>
      </c>
      <c r="R199" s="32" t="s">
        <v>883</v>
      </c>
      <c r="S199" s="33">
        <f>20615</f>
        <v>20615</v>
      </c>
      <c r="T199" s="30">
        <f>999</f>
        <v>999</v>
      </c>
      <c r="U199" s="30" t="str">
        <f t="shared" si="3"/>
        <v>－</v>
      </c>
      <c r="V199" s="30">
        <f>20672500</f>
        <v>20672500</v>
      </c>
      <c r="W199" s="30" t="str">
        <f t="shared" si="4"/>
        <v>－</v>
      </c>
      <c r="X199" s="34">
        <f>16</f>
        <v>16</v>
      </c>
    </row>
    <row r="200" spans="1:24">
      <c r="A200" s="25" t="s">
        <v>1237</v>
      </c>
      <c r="B200" s="25" t="s">
        <v>497</v>
      </c>
      <c r="C200" s="25" t="s">
        <v>498</v>
      </c>
      <c r="D200" s="25" t="s">
        <v>499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30370</f>
        <v>30370</v>
      </c>
      <c r="L200" s="32" t="s">
        <v>1110</v>
      </c>
      <c r="M200" s="31">
        <f>31860</f>
        <v>31860</v>
      </c>
      <c r="N200" s="32" t="s">
        <v>679</v>
      </c>
      <c r="O200" s="31">
        <f>30050</f>
        <v>30050</v>
      </c>
      <c r="P200" s="32" t="s">
        <v>1110</v>
      </c>
      <c r="Q200" s="31">
        <f>31160</f>
        <v>31160</v>
      </c>
      <c r="R200" s="32" t="s">
        <v>883</v>
      </c>
      <c r="S200" s="33">
        <f>31170</f>
        <v>31170</v>
      </c>
      <c r="T200" s="30">
        <f>10057</f>
        <v>10057</v>
      </c>
      <c r="U200" s="30" t="str">
        <f t="shared" si="3"/>
        <v>－</v>
      </c>
      <c r="V200" s="30">
        <f>314181890</f>
        <v>314181890</v>
      </c>
      <c r="W200" s="30" t="str">
        <f t="shared" si="4"/>
        <v>－</v>
      </c>
      <c r="X200" s="34">
        <f>20</f>
        <v>20</v>
      </c>
    </row>
    <row r="201" spans="1:24">
      <c r="A201" s="25" t="s">
        <v>1237</v>
      </c>
      <c r="B201" s="25" t="s">
        <v>500</v>
      </c>
      <c r="C201" s="25" t="s">
        <v>501</v>
      </c>
      <c r="D201" s="25" t="s">
        <v>502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17195</f>
        <v>17195</v>
      </c>
      <c r="L201" s="32" t="s">
        <v>1110</v>
      </c>
      <c r="M201" s="31">
        <f>17550</f>
        <v>17550</v>
      </c>
      <c r="N201" s="32" t="s">
        <v>674</v>
      </c>
      <c r="O201" s="31">
        <f>16255</f>
        <v>16255</v>
      </c>
      <c r="P201" s="32" t="s">
        <v>883</v>
      </c>
      <c r="Q201" s="31">
        <f>16255</f>
        <v>16255</v>
      </c>
      <c r="R201" s="32" t="s">
        <v>883</v>
      </c>
      <c r="S201" s="33">
        <f>16882.31</f>
        <v>16882.310000000001</v>
      </c>
      <c r="T201" s="30">
        <f>775</f>
        <v>775</v>
      </c>
      <c r="U201" s="30" t="str">
        <f t="shared" si="3"/>
        <v>－</v>
      </c>
      <c r="V201" s="30">
        <f>13117700</f>
        <v>13117700</v>
      </c>
      <c r="W201" s="30" t="str">
        <f t="shared" si="4"/>
        <v>－</v>
      </c>
      <c r="X201" s="34">
        <f>13</f>
        <v>13</v>
      </c>
    </row>
    <row r="202" spans="1:24">
      <c r="A202" s="25" t="s">
        <v>1237</v>
      </c>
      <c r="B202" s="25" t="s">
        <v>503</v>
      </c>
      <c r="C202" s="25" t="s">
        <v>504</v>
      </c>
      <c r="D202" s="25" t="s">
        <v>505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33000</f>
        <v>33000</v>
      </c>
      <c r="L202" s="32" t="s">
        <v>1110</v>
      </c>
      <c r="M202" s="31">
        <f>33800</f>
        <v>33800</v>
      </c>
      <c r="N202" s="32" t="s">
        <v>1115</v>
      </c>
      <c r="O202" s="31">
        <f>30340</f>
        <v>30340</v>
      </c>
      <c r="P202" s="32" t="s">
        <v>874</v>
      </c>
      <c r="Q202" s="31">
        <f>31800</f>
        <v>31800</v>
      </c>
      <c r="R202" s="32" t="s">
        <v>883</v>
      </c>
      <c r="S202" s="33">
        <f>32033.5</f>
        <v>32033.5</v>
      </c>
      <c r="T202" s="30">
        <f>52591</f>
        <v>52591</v>
      </c>
      <c r="U202" s="30">
        <f>741</f>
        <v>741</v>
      </c>
      <c r="V202" s="30">
        <f>1682407680</f>
        <v>1682407680</v>
      </c>
      <c r="W202" s="30">
        <f>23760930</f>
        <v>23760930</v>
      </c>
      <c r="X202" s="34">
        <f>20</f>
        <v>20</v>
      </c>
    </row>
    <row r="203" spans="1:24">
      <c r="A203" s="25" t="s">
        <v>1237</v>
      </c>
      <c r="B203" s="25" t="s">
        <v>506</v>
      </c>
      <c r="C203" s="25" t="s">
        <v>507</v>
      </c>
      <c r="D203" s="25" t="s">
        <v>508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3640</f>
        <v>3640</v>
      </c>
      <c r="L203" s="32" t="s">
        <v>1110</v>
      </c>
      <c r="M203" s="31">
        <f>3850</f>
        <v>3850</v>
      </c>
      <c r="N203" s="32" t="s">
        <v>1112</v>
      </c>
      <c r="O203" s="31">
        <f>3530</f>
        <v>3530</v>
      </c>
      <c r="P203" s="32" t="s">
        <v>1114</v>
      </c>
      <c r="Q203" s="31">
        <f>3590</f>
        <v>3590</v>
      </c>
      <c r="R203" s="32" t="s">
        <v>883</v>
      </c>
      <c r="S203" s="33">
        <f>3692.75</f>
        <v>3692.75</v>
      </c>
      <c r="T203" s="30">
        <f>9729</f>
        <v>9729</v>
      </c>
      <c r="U203" s="30" t="str">
        <f t="shared" ref="U203:U214" si="5">"－"</f>
        <v>－</v>
      </c>
      <c r="V203" s="30">
        <f>36228385</f>
        <v>36228385</v>
      </c>
      <c r="W203" s="30" t="str">
        <f t="shared" ref="W203:W214" si="6">"－"</f>
        <v>－</v>
      </c>
      <c r="X203" s="34">
        <f>20</f>
        <v>20</v>
      </c>
    </row>
    <row r="204" spans="1:24">
      <c r="A204" s="25" t="s">
        <v>1237</v>
      </c>
      <c r="B204" s="25" t="s">
        <v>509</v>
      </c>
      <c r="C204" s="25" t="s">
        <v>510</v>
      </c>
      <c r="D204" s="25" t="s">
        <v>511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30000</f>
        <v>30000</v>
      </c>
      <c r="L204" s="32" t="s">
        <v>1110</v>
      </c>
      <c r="M204" s="31">
        <f>32250</f>
        <v>32250</v>
      </c>
      <c r="N204" s="32" t="s">
        <v>1115</v>
      </c>
      <c r="O204" s="31">
        <f>29930</f>
        <v>29930</v>
      </c>
      <c r="P204" s="32" t="s">
        <v>1110</v>
      </c>
      <c r="Q204" s="31">
        <f>30610</f>
        <v>30610</v>
      </c>
      <c r="R204" s="32" t="s">
        <v>883</v>
      </c>
      <c r="S204" s="33">
        <f>31322</f>
        <v>31322</v>
      </c>
      <c r="T204" s="30">
        <f>3228</f>
        <v>3228</v>
      </c>
      <c r="U204" s="30" t="str">
        <f t="shared" si="5"/>
        <v>－</v>
      </c>
      <c r="V204" s="30">
        <f>101258570</f>
        <v>101258570</v>
      </c>
      <c r="W204" s="30" t="str">
        <f t="shared" si="6"/>
        <v>－</v>
      </c>
      <c r="X204" s="34">
        <f>15</f>
        <v>15</v>
      </c>
    </row>
    <row r="205" spans="1:24">
      <c r="A205" s="25" t="s">
        <v>1237</v>
      </c>
      <c r="B205" s="25" t="s">
        <v>512</v>
      </c>
      <c r="C205" s="25" t="s">
        <v>513</v>
      </c>
      <c r="D205" s="25" t="s">
        <v>514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19355</f>
        <v>19355</v>
      </c>
      <c r="L205" s="32" t="s">
        <v>1113</v>
      </c>
      <c r="M205" s="31">
        <f>19650</f>
        <v>19650</v>
      </c>
      <c r="N205" s="32" t="s">
        <v>684</v>
      </c>
      <c r="O205" s="31">
        <f>19335</f>
        <v>19335</v>
      </c>
      <c r="P205" s="32" t="s">
        <v>1112</v>
      </c>
      <c r="Q205" s="31">
        <f>19545</f>
        <v>19545</v>
      </c>
      <c r="R205" s="32" t="s">
        <v>1114</v>
      </c>
      <c r="S205" s="33">
        <f>19490</f>
        <v>19490</v>
      </c>
      <c r="T205" s="30">
        <f>76</f>
        <v>76</v>
      </c>
      <c r="U205" s="30" t="str">
        <f t="shared" si="5"/>
        <v>－</v>
      </c>
      <c r="V205" s="30">
        <f>1480570</f>
        <v>1480570</v>
      </c>
      <c r="W205" s="30" t="str">
        <f t="shared" si="6"/>
        <v>－</v>
      </c>
      <c r="X205" s="34">
        <f>6</f>
        <v>6</v>
      </c>
    </row>
    <row r="206" spans="1:24">
      <c r="A206" s="25" t="s">
        <v>1237</v>
      </c>
      <c r="B206" s="25" t="s">
        <v>515</v>
      </c>
      <c r="C206" s="25" t="s">
        <v>516</v>
      </c>
      <c r="D206" s="25" t="s">
        <v>517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34730</f>
        <v>34730</v>
      </c>
      <c r="L206" s="32" t="s">
        <v>674</v>
      </c>
      <c r="M206" s="31">
        <f>36660</f>
        <v>36660</v>
      </c>
      <c r="N206" s="32" t="s">
        <v>676</v>
      </c>
      <c r="O206" s="31">
        <f>34730</f>
        <v>34730</v>
      </c>
      <c r="P206" s="32" t="s">
        <v>674</v>
      </c>
      <c r="Q206" s="31">
        <f>36660</f>
        <v>36660</v>
      </c>
      <c r="R206" s="32" t="s">
        <v>676</v>
      </c>
      <c r="S206" s="33">
        <f>35932</f>
        <v>35932</v>
      </c>
      <c r="T206" s="30">
        <f>630</f>
        <v>630</v>
      </c>
      <c r="U206" s="30" t="str">
        <f t="shared" si="5"/>
        <v>－</v>
      </c>
      <c r="V206" s="30">
        <f>22449300</f>
        <v>22449300</v>
      </c>
      <c r="W206" s="30" t="str">
        <f t="shared" si="6"/>
        <v>－</v>
      </c>
      <c r="X206" s="34">
        <f>10</f>
        <v>10</v>
      </c>
    </row>
    <row r="207" spans="1:24">
      <c r="A207" s="25" t="s">
        <v>1237</v>
      </c>
      <c r="B207" s="25" t="s">
        <v>518</v>
      </c>
      <c r="C207" s="25" t="s">
        <v>519</v>
      </c>
      <c r="D207" s="25" t="s">
        <v>520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19325</f>
        <v>19325</v>
      </c>
      <c r="L207" s="32" t="s">
        <v>1117</v>
      </c>
      <c r="M207" s="31">
        <f>19750</f>
        <v>19750</v>
      </c>
      <c r="N207" s="32" t="s">
        <v>679</v>
      </c>
      <c r="O207" s="31">
        <f>19325</f>
        <v>19325</v>
      </c>
      <c r="P207" s="32" t="s">
        <v>1117</v>
      </c>
      <c r="Q207" s="31">
        <f>19750</f>
        <v>19750</v>
      </c>
      <c r="R207" s="32" t="s">
        <v>679</v>
      </c>
      <c r="S207" s="33">
        <f>19537.5</f>
        <v>19537.5</v>
      </c>
      <c r="T207" s="30">
        <f>1150</f>
        <v>1150</v>
      </c>
      <c r="U207" s="30" t="str">
        <f t="shared" si="5"/>
        <v>－</v>
      </c>
      <c r="V207" s="30">
        <f>22287500</f>
        <v>22287500</v>
      </c>
      <c r="W207" s="30" t="str">
        <f t="shared" si="6"/>
        <v>－</v>
      </c>
      <c r="X207" s="34">
        <f>2</f>
        <v>2</v>
      </c>
    </row>
    <row r="208" spans="1:24">
      <c r="A208" s="25" t="s">
        <v>1237</v>
      </c>
      <c r="B208" s="25" t="s">
        <v>521</v>
      </c>
      <c r="C208" s="25" t="s">
        <v>522</v>
      </c>
      <c r="D208" s="25" t="s">
        <v>523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19170</f>
        <v>19170</v>
      </c>
      <c r="L208" s="32" t="s">
        <v>1110</v>
      </c>
      <c r="M208" s="31">
        <f>19725</f>
        <v>19725</v>
      </c>
      <c r="N208" s="32" t="s">
        <v>1123</v>
      </c>
      <c r="O208" s="31">
        <f>18905</f>
        <v>18905</v>
      </c>
      <c r="P208" s="32" t="s">
        <v>1111</v>
      </c>
      <c r="Q208" s="31">
        <f>18995</f>
        <v>18995</v>
      </c>
      <c r="R208" s="32" t="s">
        <v>1114</v>
      </c>
      <c r="S208" s="33">
        <f>19277.92</f>
        <v>19277.919999999998</v>
      </c>
      <c r="T208" s="30">
        <f>217</f>
        <v>217</v>
      </c>
      <c r="U208" s="30" t="str">
        <f t="shared" si="5"/>
        <v>－</v>
      </c>
      <c r="V208" s="30">
        <f>4259285</f>
        <v>4259285</v>
      </c>
      <c r="W208" s="30" t="str">
        <f t="shared" si="6"/>
        <v>－</v>
      </c>
      <c r="X208" s="34">
        <f>12</f>
        <v>12</v>
      </c>
    </row>
    <row r="209" spans="1:24">
      <c r="A209" s="25" t="s">
        <v>1237</v>
      </c>
      <c r="B209" s="25" t="s">
        <v>524</v>
      </c>
      <c r="C209" s="25" t="s">
        <v>525</v>
      </c>
      <c r="D209" s="25" t="s">
        <v>526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22710</f>
        <v>22710</v>
      </c>
      <c r="L209" s="32" t="s">
        <v>1110</v>
      </c>
      <c r="M209" s="31">
        <f>23285</f>
        <v>23285</v>
      </c>
      <c r="N209" s="32" t="s">
        <v>1115</v>
      </c>
      <c r="O209" s="31">
        <f>22245</f>
        <v>22245</v>
      </c>
      <c r="P209" s="32" t="s">
        <v>676</v>
      </c>
      <c r="Q209" s="31">
        <f>22245</f>
        <v>22245</v>
      </c>
      <c r="R209" s="32" t="s">
        <v>676</v>
      </c>
      <c r="S209" s="33">
        <f>22790</f>
        <v>22790</v>
      </c>
      <c r="T209" s="30">
        <f>72</f>
        <v>72</v>
      </c>
      <c r="U209" s="30" t="str">
        <f t="shared" si="5"/>
        <v>－</v>
      </c>
      <c r="V209" s="30">
        <f>1648590</f>
        <v>1648590</v>
      </c>
      <c r="W209" s="30" t="str">
        <f t="shared" si="6"/>
        <v>－</v>
      </c>
      <c r="X209" s="34">
        <f>8</f>
        <v>8</v>
      </c>
    </row>
    <row r="210" spans="1:24">
      <c r="A210" s="25" t="s">
        <v>1237</v>
      </c>
      <c r="B210" s="25" t="s">
        <v>527</v>
      </c>
      <c r="C210" s="25" t="s">
        <v>528</v>
      </c>
      <c r="D210" s="25" t="s">
        <v>529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17700</f>
        <v>17700</v>
      </c>
      <c r="L210" s="32" t="s">
        <v>1110</v>
      </c>
      <c r="M210" s="31">
        <f>18155</f>
        <v>18155</v>
      </c>
      <c r="N210" s="32" t="s">
        <v>1113</v>
      </c>
      <c r="O210" s="31">
        <f>17700</f>
        <v>17700</v>
      </c>
      <c r="P210" s="32" t="s">
        <v>1110</v>
      </c>
      <c r="Q210" s="31">
        <f>18155</f>
        <v>18155</v>
      </c>
      <c r="R210" s="32" t="s">
        <v>1113</v>
      </c>
      <c r="S210" s="33">
        <f>17938.33</f>
        <v>17938.330000000002</v>
      </c>
      <c r="T210" s="30">
        <f>26</f>
        <v>26</v>
      </c>
      <c r="U210" s="30" t="str">
        <f t="shared" si="5"/>
        <v>－</v>
      </c>
      <c r="V210" s="30">
        <f>462995</f>
        <v>462995</v>
      </c>
      <c r="W210" s="30" t="str">
        <f t="shared" si="6"/>
        <v>－</v>
      </c>
      <c r="X210" s="34">
        <f>3</f>
        <v>3</v>
      </c>
    </row>
    <row r="211" spans="1:24">
      <c r="A211" s="25" t="s">
        <v>1237</v>
      </c>
      <c r="B211" s="25" t="s">
        <v>530</v>
      </c>
      <c r="C211" s="25" t="s">
        <v>531</v>
      </c>
      <c r="D211" s="25" t="s">
        <v>532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12235</f>
        <v>12235</v>
      </c>
      <c r="L211" s="32" t="s">
        <v>1115</v>
      </c>
      <c r="M211" s="31">
        <f>12235</f>
        <v>12235</v>
      </c>
      <c r="N211" s="32" t="s">
        <v>1115</v>
      </c>
      <c r="O211" s="31">
        <f>11815</f>
        <v>11815</v>
      </c>
      <c r="P211" s="32" t="s">
        <v>1112</v>
      </c>
      <c r="Q211" s="31">
        <f>11935</f>
        <v>11935</v>
      </c>
      <c r="R211" s="32" t="s">
        <v>1111</v>
      </c>
      <c r="S211" s="33">
        <f>12030.83</f>
        <v>12030.83</v>
      </c>
      <c r="T211" s="30">
        <f>1151</f>
        <v>1151</v>
      </c>
      <c r="U211" s="30" t="str">
        <f t="shared" si="5"/>
        <v>－</v>
      </c>
      <c r="V211" s="30">
        <f>13900380</f>
        <v>13900380</v>
      </c>
      <c r="W211" s="30" t="str">
        <f t="shared" si="6"/>
        <v>－</v>
      </c>
      <c r="X211" s="34">
        <f>6</f>
        <v>6</v>
      </c>
    </row>
    <row r="212" spans="1:24">
      <c r="A212" s="25" t="s">
        <v>1237</v>
      </c>
      <c r="B212" s="25" t="s">
        <v>533</v>
      </c>
      <c r="C212" s="25" t="s">
        <v>534</v>
      </c>
      <c r="D212" s="25" t="s">
        <v>535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14155</f>
        <v>14155</v>
      </c>
      <c r="L212" s="32" t="s">
        <v>674</v>
      </c>
      <c r="M212" s="31">
        <f>14630</f>
        <v>14630</v>
      </c>
      <c r="N212" s="32" t="s">
        <v>677</v>
      </c>
      <c r="O212" s="31">
        <f>14055</f>
        <v>14055</v>
      </c>
      <c r="P212" s="32" t="s">
        <v>1112</v>
      </c>
      <c r="Q212" s="31">
        <f>14165</f>
        <v>14165</v>
      </c>
      <c r="R212" s="32" t="s">
        <v>883</v>
      </c>
      <c r="S212" s="33">
        <f>14294.17</f>
        <v>14294.17</v>
      </c>
      <c r="T212" s="30">
        <f>4769</f>
        <v>4769</v>
      </c>
      <c r="U212" s="30" t="str">
        <f t="shared" si="5"/>
        <v>－</v>
      </c>
      <c r="V212" s="30">
        <f>67653425</f>
        <v>67653425</v>
      </c>
      <c r="W212" s="30" t="str">
        <f t="shared" si="6"/>
        <v>－</v>
      </c>
      <c r="X212" s="34">
        <f>12</f>
        <v>12</v>
      </c>
    </row>
    <row r="213" spans="1:24">
      <c r="A213" s="25" t="s">
        <v>1237</v>
      </c>
      <c r="B213" s="25" t="s">
        <v>536</v>
      </c>
      <c r="C213" s="25" t="s">
        <v>537</v>
      </c>
      <c r="D213" s="25" t="s">
        <v>538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12595</f>
        <v>12595</v>
      </c>
      <c r="L213" s="32" t="s">
        <v>1110</v>
      </c>
      <c r="M213" s="31">
        <f>12860</f>
        <v>12860</v>
      </c>
      <c r="N213" s="32" t="s">
        <v>1115</v>
      </c>
      <c r="O213" s="31">
        <f>12595</f>
        <v>12595</v>
      </c>
      <c r="P213" s="32" t="s">
        <v>1110</v>
      </c>
      <c r="Q213" s="31">
        <f>12705</f>
        <v>12705</v>
      </c>
      <c r="R213" s="32" t="s">
        <v>883</v>
      </c>
      <c r="S213" s="33">
        <f>12708</f>
        <v>12708</v>
      </c>
      <c r="T213" s="30">
        <f>380</f>
        <v>380</v>
      </c>
      <c r="U213" s="30" t="str">
        <f t="shared" si="5"/>
        <v>－</v>
      </c>
      <c r="V213" s="30">
        <f>4832995</f>
        <v>4832995</v>
      </c>
      <c r="W213" s="30" t="str">
        <f t="shared" si="6"/>
        <v>－</v>
      </c>
      <c r="X213" s="34">
        <f>5</f>
        <v>5</v>
      </c>
    </row>
    <row r="214" spans="1:24">
      <c r="A214" s="25" t="s">
        <v>1237</v>
      </c>
      <c r="B214" s="25" t="s">
        <v>783</v>
      </c>
      <c r="C214" s="25" t="s">
        <v>784</v>
      </c>
      <c r="D214" s="25" t="s">
        <v>785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13280</f>
        <v>13280</v>
      </c>
      <c r="L214" s="32" t="s">
        <v>676</v>
      </c>
      <c r="M214" s="31">
        <f>13280</f>
        <v>13280</v>
      </c>
      <c r="N214" s="32" t="s">
        <v>676</v>
      </c>
      <c r="O214" s="31">
        <f>13250</f>
        <v>13250</v>
      </c>
      <c r="P214" s="32" t="s">
        <v>1111</v>
      </c>
      <c r="Q214" s="31">
        <f>13250</f>
        <v>13250</v>
      </c>
      <c r="R214" s="32" t="s">
        <v>1111</v>
      </c>
      <c r="S214" s="33">
        <f>13265</f>
        <v>13265</v>
      </c>
      <c r="T214" s="30">
        <f>201</f>
        <v>201</v>
      </c>
      <c r="U214" s="30" t="str">
        <f t="shared" si="5"/>
        <v>－</v>
      </c>
      <c r="V214" s="30">
        <f>2666260</f>
        <v>2666260</v>
      </c>
      <c r="W214" s="30" t="str">
        <f t="shared" si="6"/>
        <v>－</v>
      </c>
      <c r="X214" s="34">
        <f>2</f>
        <v>2</v>
      </c>
    </row>
    <row r="215" spans="1:24">
      <c r="A215" s="25" t="s">
        <v>1237</v>
      </c>
      <c r="B215" s="25" t="s">
        <v>991</v>
      </c>
      <c r="C215" s="25" t="s">
        <v>992</v>
      </c>
      <c r="D215" s="25" t="s">
        <v>993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1127</f>
        <v>1127</v>
      </c>
      <c r="L215" s="32" t="s">
        <v>1110</v>
      </c>
      <c r="M215" s="31">
        <f>1189</f>
        <v>1189</v>
      </c>
      <c r="N215" s="32" t="s">
        <v>679</v>
      </c>
      <c r="O215" s="31">
        <f>1121</f>
        <v>1121</v>
      </c>
      <c r="P215" s="32" t="s">
        <v>1110</v>
      </c>
      <c r="Q215" s="31">
        <f>1163</f>
        <v>1163</v>
      </c>
      <c r="R215" s="32" t="s">
        <v>883</v>
      </c>
      <c r="S215" s="33">
        <f>1164.15</f>
        <v>1164.1500000000001</v>
      </c>
      <c r="T215" s="30">
        <f>1185199</f>
        <v>1185199</v>
      </c>
      <c r="U215" s="30">
        <f>160530</f>
        <v>160530</v>
      </c>
      <c r="V215" s="30">
        <f>1379917572</f>
        <v>1379917572</v>
      </c>
      <c r="W215" s="30">
        <f>183317400</f>
        <v>183317400</v>
      </c>
      <c r="X215" s="34">
        <f>20</f>
        <v>20</v>
      </c>
    </row>
    <row r="216" spans="1:24">
      <c r="A216" s="25" t="s">
        <v>1237</v>
      </c>
      <c r="B216" s="25" t="s">
        <v>994</v>
      </c>
      <c r="C216" s="25" t="s">
        <v>995</v>
      </c>
      <c r="D216" s="25" t="s">
        <v>996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1165</f>
        <v>1165</v>
      </c>
      <c r="L216" s="32" t="s">
        <v>1110</v>
      </c>
      <c r="M216" s="31">
        <f>1243</f>
        <v>1243</v>
      </c>
      <c r="N216" s="32" t="s">
        <v>679</v>
      </c>
      <c r="O216" s="31">
        <f>1164</f>
        <v>1164</v>
      </c>
      <c r="P216" s="32" t="s">
        <v>1110</v>
      </c>
      <c r="Q216" s="31">
        <f>1215</f>
        <v>1215</v>
      </c>
      <c r="R216" s="32" t="s">
        <v>883</v>
      </c>
      <c r="S216" s="33">
        <f>1216.1</f>
        <v>1216.0999999999999</v>
      </c>
      <c r="T216" s="30">
        <f>38961</f>
        <v>38961</v>
      </c>
      <c r="U216" s="30" t="str">
        <f>"－"</f>
        <v>－</v>
      </c>
      <c r="V216" s="30">
        <f>47591837</f>
        <v>47591837</v>
      </c>
      <c r="W216" s="30" t="str">
        <f>"－"</f>
        <v>－</v>
      </c>
      <c r="X216" s="34">
        <f>20</f>
        <v>20</v>
      </c>
    </row>
    <row r="217" spans="1:24">
      <c r="A217" s="25" t="s">
        <v>1237</v>
      </c>
      <c r="B217" s="25" t="s">
        <v>997</v>
      </c>
      <c r="C217" s="25" t="s">
        <v>998</v>
      </c>
      <c r="D217" s="25" t="s">
        <v>999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1008</f>
        <v>1008</v>
      </c>
      <c r="L217" s="32" t="s">
        <v>1110</v>
      </c>
      <c r="M217" s="31">
        <f>1049</f>
        <v>1049</v>
      </c>
      <c r="N217" s="32" t="s">
        <v>1115</v>
      </c>
      <c r="O217" s="31">
        <f>999</f>
        <v>999</v>
      </c>
      <c r="P217" s="32" t="s">
        <v>1117</v>
      </c>
      <c r="Q217" s="31">
        <f>1033</f>
        <v>1033</v>
      </c>
      <c r="R217" s="32" t="s">
        <v>883</v>
      </c>
      <c r="S217" s="33">
        <f>1022.15</f>
        <v>1022.15</v>
      </c>
      <c r="T217" s="30">
        <f>3504</f>
        <v>3504</v>
      </c>
      <c r="U217" s="30" t="str">
        <f>"－"</f>
        <v>－</v>
      </c>
      <c r="V217" s="30">
        <f>3555128</f>
        <v>3555128</v>
      </c>
      <c r="W217" s="30" t="str">
        <f>"－"</f>
        <v>－</v>
      </c>
      <c r="X217" s="34">
        <f>20</f>
        <v>20</v>
      </c>
    </row>
    <row r="218" spans="1:24">
      <c r="A218" s="25" t="s">
        <v>1237</v>
      </c>
      <c r="B218" s="25" t="s">
        <v>1000</v>
      </c>
      <c r="C218" s="25" t="s">
        <v>1001</v>
      </c>
      <c r="D218" s="25" t="s">
        <v>1002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2157</f>
        <v>2157</v>
      </c>
      <c r="L218" s="32" t="s">
        <v>1110</v>
      </c>
      <c r="M218" s="31">
        <f>2249</f>
        <v>2249</v>
      </c>
      <c r="N218" s="32" t="s">
        <v>1115</v>
      </c>
      <c r="O218" s="31">
        <f>2116</f>
        <v>2116</v>
      </c>
      <c r="P218" s="32" t="s">
        <v>883</v>
      </c>
      <c r="Q218" s="31">
        <f>2133</f>
        <v>2133</v>
      </c>
      <c r="R218" s="32" t="s">
        <v>883</v>
      </c>
      <c r="S218" s="33">
        <f>2165.4</f>
        <v>2165.4</v>
      </c>
      <c r="T218" s="30">
        <f>169271</f>
        <v>169271</v>
      </c>
      <c r="U218" s="30" t="str">
        <f>"－"</f>
        <v>－</v>
      </c>
      <c r="V218" s="30">
        <f>368379207</f>
        <v>368379207</v>
      </c>
      <c r="W218" s="30" t="str">
        <f>"－"</f>
        <v>－</v>
      </c>
      <c r="X218" s="34">
        <f>20</f>
        <v>20</v>
      </c>
    </row>
    <row r="219" spans="1:24">
      <c r="A219" s="25" t="s">
        <v>1237</v>
      </c>
      <c r="B219" s="25" t="s">
        <v>1003</v>
      </c>
      <c r="C219" s="25" t="s">
        <v>1004</v>
      </c>
      <c r="D219" s="25" t="s">
        <v>1005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2237</f>
        <v>2237</v>
      </c>
      <c r="L219" s="32" t="s">
        <v>1110</v>
      </c>
      <c r="M219" s="31">
        <f>2331</f>
        <v>2331</v>
      </c>
      <c r="N219" s="32" t="s">
        <v>1115</v>
      </c>
      <c r="O219" s="31">
        <f>2232</f>
        <v>2232</v>
      </c>
      <c r="P219" s="32" t="s">
        <v>1110</v>
      </c>
      <c r="Q219" s="31">
        <f>2270</f>
        <v>2270</v>
      </c>
      <c r="R219" s="32" t="s">
        <v>883</v>
      </c>
      <c r="S219" s="33">
        <f>2282.55</f>
        <v>2282.5500000000002</v>
      </c>
      <c r="T219" s="30">
        <f>424007</f>
        <v>424007</v>
      </c>
      <c r="U219" s="30">
        <f>35180</f>
        <v>35180</v>
      </c>
      <c r="V219" s="30">
        <f>967536826</f>
        <v>967536826</v>
      </c>
      <c r="W219" s="30">
        <f>80082844</f>
        <v>80082844</v>
      </c>
      <c r="X219" s="34">
        <f>20</f>
        <v>20</v>
      </c>
    </row>
    <row r="220" spans="1:24">
      <c r="A220" s="25" t="s">
        <v>1237</v>
      </c>
      <c r="B220" s="25" t="s">
        <v>1006</v>
      </c>
      <c r="C220" s="25" t="s">
        <v>1007</v>
      </c>
      <c r="D220" s="25" t="s">
        <v>1008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547</f>
        <v>547</v>
      </c>
      <c r="L220" s="32" t="s">
        <v>1110</v>
      </c>
      <c r="M220" s="31">
        <f>559</f>
        <v>559</v>
      </c>
      <c r="N220" s="32" t="s">
        <v>1115</v>
      </c>
      <c r="O220" s="31">
        <f>531.8</f>
        <v>531.79999999999995</v>
      </c>
      <c r="P220" s="32" t="s">
        <v>1111</v>
      </c>
      <c r="Q220" s="31">
        <f>535.9</f>
        <v>535.9</v>
      </c>
      <c r="R220" s="32" t="s">
        <v>883</v>
      </c>
      <c r="S220" s="33">
        <f>544.91</f>
        <v>544.91</v>
      </c>
      <c r="T220" s="30">
        <f>702430</f>
        <v>702430</v>
      </c>
      <c r="U220" s="30">
        <f>60</f>
        <v>60</v>
      </c>
      <c r="V220" s="30">
        <f>382538683</f>
        <v>382538683</v>
      </c>
      <c r="W220" s="30">
        <f>32766</f>
        <v>32766</v>
      </c>
      <c r="X220" s="34">
        <f>20</f>
        <v>20</v>
      </c>
    </row>
    <row r="221" spans="1:24">
      <c r="A221" s="25" t="s">
        <v>1237</v>
      </c>
      <c r="B221" s="25" t="s">
        <v>1009</v>
      </c>
      <c r="C221" s="25" t="s">
        <v>1010</v>
      </c>
      <c r="D221" s="25" t="s">
        <v>1011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2427</f>
        <v>2427</v>
      </c>
      <c r="L221" s="32" t="s">
        <v>1110</v>
      </c>
      <c r="M221" s="31">
        <f>2606.5</f>
        <v>2606.5</v>
      </c>
      <c r="N221" s="32" t="s">
        <v>1114</v>
      </c>
      <c r="O221" s="31">
        <f>2427</f>
        <v>2427</v>
      </c>
      <c r="P221" s="32" t="s">
        <v>1110</v>
      </c>
      <c r="Q221" s="31">
        <f>2557</f>
        <v>2557</v>
      </c>
      <c r="R221" s="32" t="s">
        <v>883</v>
      </c>
      <c r="S221" s="33">
        <f>2525.36</f>
        <v>2525.36</v>
      </c>
      <c r="T221" s="30">
        <f>1868660</f>
        <v>1868660</v>
      </c>
      <c r="U221" s="30">
        <f>1631000</f>
        <v>1631000</v>
      </c>
      <c r="V221" s="30">
        <f>4665853337</f>
        <v>4665853337</v>
      </c>
      <c r="W221" s="30">
        <f>4086019547</f>
        <v>4086019547</v>
      </c>
      <c r="X221" s="34">
        <f>14</f>
        <v>14</v>
      </c>
    </row>
    <row r="222" spans="1:24">
      <c r="A222" s="25" t="s">
        <v>1237</v>
      </c>
      <c r="B222" s="25" t="s">
        <v>1012</v>
      </c>
      <c r="C222" s="25" t="s">
        <v>1013</v>
      </c>
      <c r="D222" s="25" t="s">
        <v>1014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2493.5</f>
        <v>2493.5</v>
      </c>
      <c r="L222" s="32" t="s">
        <v>1110</v>
      </c>
      <c r="M222" s="31">
        <f>2644</f>
        <v>2644</v>
      </c>
      <c r="N222" s="32" t="s">
        <v>684</v>
      </c>
      <c r="O222" s="31">
        <f>2492</f>
        <v>2492</v>
      </c>
      <c r="P222" s="32" t="s">
        <v>674</v>
      </c>
      <c r="Q222" s="31">
        <f>2591.5</f>
        <v>2591.5</v>
      </c>
      <c r="R222" s="32" t="s">
        <v>1114</v>
      </c>
      <c r="S222" s="33">
        <f>2587.13</f>
        <v>2587.13</v>
      </c>
      <c r="T222" s="30">
        <f>570110</f>
        <v>570110</v>
      </c>
      <c r="U222" s="30">
        <f>417060</f>
        <v>417060</v>
      </c>
      <c r="V222" s="30">
        <f>1478377115</f>
        <v>1478377115</v>
      </c>
      <c r="W222" s="30">
        <f>1089798815</f>
        <v>1089798815</v>
      </c>
      <c r="X222" s="34">
        <f>12</f>
        <v>12</v>
      </c>
    </row>
    <row r="223" spans="1:24">
      <c r="A223" s="25" t="s">
        <v>1237</v>
      </c>
      <c r="B223" s="25" t="s">
        <v>1015</v>
      </c>
      <c r="C223" s="25" t="s">
        <v>1016</v>
      </c>
      <c r="D223" s="25" t="s">
        <v>1017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2253</f>
        <v>2253</v>
      </c>
      <c r="L223" s="32" t="s">
        <v>1110</v>
      </c>
      <c r="M223" s="31">
        <f>2438</f>
        <v>2438</v>
      </c>
      <c r="N223" s="32" t="s">
        <v>676</v>
      </c>
      <c r="O223" s="31">
        <f>2253</f>
        <v>2253</v>
      </c>
      <c r="P223" s="32" t="s">
        <v>1110</v>
      </c>
      <c r="Q223" s="31">
        <f>2417.5</f>
        <v>2417.5</v>
      </c>
      <c r="R223" s="32" t="s">
        <v>1111</v>
      </c>
      <c r="S223" s="33">
        <f>2351.62</f>
        <v>2351.62</v>
      </c>
      <c r="T223" s="30">
        <f>750670</f>
        <v>750670</v>
      </c>
      <c r="U223" s="30">
        <f>422240</f>
        <v>422240</v>
      </c>
      <c r="V223" s="30">
        <f>1770291130</f>
        <v>1770291130</v>
      </c>
      <c r="W223" s="30">
        <f>999961780</f>
        <v>999961780</v>
      </c>
      <c r="X223" s="34">
        <f>13</f>
        <v>13</v>
      </c>
    </row>
    <row r="224" spans="1:24">
      <c r="A224" s="25" t="s">
        <v>1237</v>
      </c>
      <c r="B224" s="25" t="s">
        <v>1018</v>
      </c>
      <c r="C224" s="25" t="s">
        <v>1019</v>
      </c>
      <c r="D224" s="25" t="s">
        <v>1020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2294</f>
        <v>2294</v>
      </c>
      <c r="L224" s="32" t="s">
        <v>875</v>
      </c>
      <c r="M224" s="31">
        <f>2294</f>
        <v>2294</v>
      </c>
      <c r="N224" s="32" t="s">
        <v>875</v>
      </c>
      <c r="O224" s="31">
        <f>2294</f>
        <v>2294</v>
      </c>
      <c r="P224" s="32" t="s">
        <v>875</v>
      </c>
      <c r="Q224" s="31">
        <f>2294</f>
        <v>2294</v>
      </c>
      <c r="R224" s="32" t="s">
        <v>875</v>
      </c>
      <c r="S224" s="33">
        <f>2294</f>
        <v>2294</v>
      </c>
      <c r="T224" s="30">
        <f>100</f>
        <v>100</v>
      </c>
      <c r="U224" s="30" t="str">
        <f t="shared" ref="U224:U229" si="7">"－"</f>
        <v>－</v>
      </c>
      <c r="V224" s="30">
        <f>229400</f>
        <v>229400</v>
      </c>
      <c r="W224" s="30" t="str">
        <f t="shared" ref="W224:W229" si="8">"－"</f>
        <v>－</v>
      </c>
      <c r="X224" s="34">
        <f>1</f>
        <v>1</v>
      </c>
    </row>
    <row r="225" spans="1:24">
      <c r="A225" s="25" t="s">
        <v>1237</v>
      </c>
      <c r="B225" s="25" t="s">
        <v>1021</v>
      </c>
      <c r="C225" s="25" t="s">
        <v>1022</v>
      </c>
      <c r="D225" s="25" t="s">
        <v>1023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4828</f>
        <v>4828</v>
      </c>
      <c r="L225" s="32" t="s">
        <v>1123</v>
      </c>
      <c r="M225" s="31">
        <f>4842</f>
        <v>4842</v>
      </c>
      <c r="N225" s="32" t="s">
        <v>1123</v>
      </c>
      <c r="O225" s="31">
        <f>4775</f>
        <v>4775</v>
      </c>
      <c r="P225" s="32" t="s">
        <v>1117</v>
      </c>
      <c r="Q225" s="31">
        <f>4839</f>
        <v>4839</v>
      </c>
      <c r="R225" s="32" t="s">
        <v>1114</v>
      </c>
      <c r="S225" s="33">
        <f>4822</f>
        <v>4822</v>
      </c>
      <c r="T225" s="30">
        <f>22800</f>
        <v>22800</v>
      </c>
      <c r="U225" s="30" t="str">
        <f t="shared" si="7"/>
        <v>－</v>
      </c>
      <c r="V225" s="30">
        <f>110169530</f>
        <v>110169530</v>
      </c>
      <c r="W225" s="30" t="str">
        <f t="shared" si="8"/>
        <v>－</v>
      </c>
      <c r="X225" s="34">
        <f>4</f>
        <v>4</v>
      </c>
    </row>
    <row r="226" spans="1:24">
      <c r="A226" s="25" t="s">
        <v>1237</v>
      </c>
      <c r="B226" s="25" t="s">
        <v>1024</v>
      </c>
      <c r="C226" s="25" t="s">
        <v>1025</v>
      </c>
      <c r="D226" s="25" t="s">
        <v>1026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5162</f>
        <v>5162</v>
      </c>
      <c r="L226" s="32" t="s">
        <v>883</v>
      </c>
      <c r="M226" s="31">
        <f>5162</f>
        <v>5162</v>
      </c>
      <c r="N226" s="32" t="s">
        <v>883</v>
      </c>
      <c r="O226" s="31">
        <f>5162</f>
        <v>5162</v>
      </c>
      <c r="P226" s="32" t="s">
        <v>883</v>
      </c>
      <c r="Q226" s="31">
        <f>5162</f>
        <v>5162</v>
      </c>
      <c r="R226" s="32" t="s">
        <v>883</v>
      </c>
      <c r="S226" s="33">
        <f>5162</f>
        <v>5162</v>
      </c>
      <c r="T226" s="30">
        <f>80</f>
        <v>80</v>
      </c>
      <c r="U226" s="30" t="str">
        <f t="shared" si="7"/>
        <v>－</v>
      </c>
      <c r="V226" s="30">
        <f>412960</f>
        <v>412960</v>
      </c>
      <c r="W226" s="30" t="str">
        <f t="shared" si="8"/>
        <v>－</v>
      </c>
      <c r="X226" s="34">
        <f>1</f>
        <v>1</v>
      </c>
    </row>
    <row r="227" spans="1:24">
      <c r="A227" s="25" t="s">
        <v>1237</v>
      </c>
      <c r="B227" s="25" t="s">
        <v>1027</v>
      </c>
      <c r="C227" s="25" t="s">
        <v>1028</v>
      </c>
      <c r="D227" s="25" t="s">
        <v>1029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5223</f>
        <v>5223</v>
      </c>
      <c r="L227" s="32" t="s">
        <v>883</v>
      </c>
      <c r="M227" s="31">
        <f>5223</f>
        <v>5223</v>
      </c>
      <c r="N227" s="32" t="s">
        <v>883</v>
      </c>
      <c r="O227" s="31">
        <f>5223</f>
        <v>5223</v>
      </c>
      <c r="P227" s="32" t="s">
        <v>883</v>
      </c>
      <c r="Q227" s="31">
        <f>5223</f>
        <v>5223</v>
      </c>
      <c r="R227" s="32" t="s">
        <v>883</v>
      </c>
      <c r="S227" s="33">
        <f>5223</f>
        <v>5223</v>
      </c>
      <c r="T227" s="30">
        <f>80</f>
        <v>80</v>
      </c>
      <c r="U227" s="30" t="str">
        <f t="shared" si="7"/>
        <v>－</v>
      </c>
      <c r="V227" s="30">
        <f>417840</f>
        <v>417840</v>
      </c>
      <c r="W227" s="30" t="str">
        <f t="shared" si="8"/>
        <v>－</v>
      </c>
      <c r="X227" s="34">
        <f>1</f>
        <v>1</v>
      </c>
    </row>
    <row r="228" spans="1:24">
      <c r="A228" s="25" t="s">
        <v>1237</v>
      </c>
      <c r="B228" s="25" t="s">
        <v>1053</v>
      </c>
      <c r="C228" s="25" t="s">
        <v>1052</v>
      </c>
      <c r="D228" s="25" t="s">
        <v>1051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5197</f>
        <v>5197</v>
      </c>
      <c r="L228" s="32" t="s">
        <v>1110</v>
      </c>
      <c r="M228" s="31">
        <f>5299</f>
        <v>5299</v>
      </c>
      <c r="N228" s="32" t="s">
        <v>1115</v>
      </c>
      <c r="O228" s="31">
        <f>5001</f>
        <v>5001</v>
      </c>
      <c r="P228" s="32" t="s">
        <v>883</v>
      </c>
      <c r="Q228" s="31">
        <f>5009</f>
        <v>5009</v>
      </c>
      <c r="R228" s="32" t="s">
        <v>883</v>
      </c>
      <c r="S228" s="33">
        <f>5133.8</f>
        <v>5133.8</v>
      </c>
      <c r="T228" s="30">
        <f>12920</f>
        <v>12920</v>
      </c>
      <c r="U228" s="30" t="str">
        <f t="shared" si="7"/>
        <v>－</v>
      </c>
      <c r="V228" s="30">
        <f>66504300</f>
        <v>66504300</v>
      </c>
      <c r="W228" s="30" t="str">
        <f t="shared" si="8"/>
        <v>－</v>
      </c>
      <c r="X228" s="34">
        <f>20</f>
        <v>20</v>
      </c>
    </row>
    <row r="229" spans="1:24">
      <c r="A229" s="25" t="s">
        <v>1237</v>
      </c>
      <c r="B229" s="25" t="s">
        <v>1050</v>
      </c>
      <c r="C229" s="25" t="s">
        <v>1049</v>
      </c>
      <c r="D229" s="25" t="s">
        <v>1048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986</f>
        <v>986</v>
      </c>
      <c r="L229" s="32" t="s">
        <v>1110</v>
      </c>
      <c r="M229" s="31">
        <f>1005</f>
        <v>1005</v>
      </c>
      <c r="N229" s="32" t="s">
        <v>875</v>
      </c>
      <c r="O229" s="31">
        <f>972</f>
        <v>972</v>
      </c>
      <c r="P229" s="32" t="s">
        <v>1124</v>
      </c>
      <c r="Q229" s="31">
        <f>985</f>
        <v>985</v>
      </c>
      <c r="R229" s="32" t="s">
        <v>883</v>
      </c>
      <c r="S229" s="33">
        <f>987.1</f>
        <v>987.1</v>
      </c>
      <c r="T229" s="30">
        <f>46761</f>
        <v>46761</v>
      </c>
      <c r="U229" s="30" t="str">
        <f t="shared" si="7"/>
        <v>－</v>
      </c>
      <c r="V229" s="30">
        <f>46124493</f>
        <v>46124493</v>
      </c>
      <c r="W229" s="30" t="str">
        <f t="shared" si="8"/>
        <v>－</v>
      </c>
      <c r="X229" s="34">
        <f>20</f>
        <v>20</v>
      </c>
    </row>
    <row r="230" spans="1:24">
      <c r="A230" s="25" t="s">
        <v>1237</v>
      </c>
      <c r="B230" s="25" t="s">
        <v>1047</v>
      </c>
      <c r="C230" s="25" t="s">
        <v>1046</v>
      </c>
      <c r="D230" s="25" t="s">
        <v>1045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1144</f>
        <v>1144</v>
      </c>
      <c r="L230" s="32" t="s">
        <v>1110</v>
      </c>
      <c r="M230" s="31">
        <f>1207</f>
        <v>1207</v>
      </c>
      <c r="N230" s="32" t="s">
        <v>1111</v>
      </c>
      <c r="O230" s="31">
        <f>1141</f>
        <v>1141</v>
      </c>
      <c r="P230" s="32" t="s">
        <v>1110</v>
      </c>
      <c r="Q230" s="31">
        <f>1195</f>
        <v>1195</v>
      </c>
      <c r="R230" s="32" t="s">
        <v>883</v>
      </c>
      <c r="S230" s="33">
        <f>1173.75</f>
        <v>1173.75</v>
      </c>
      <c r="T230" s="30">
        <f>546334</f>
        <v>546334</v>
      </c>
      <c r="U230" s="30">
        <f>427000</f>
        <v>427000</v>
      </c>
      <c r="V230" s="30">
        <f>637819251</f>
        <v>637819251</v>
      </c>
      <c r="W230" s="30">
        <f>498561889</f>
        <v>498561889</v>
      </c>
      <c r="X230" s="34">
        <f>20</f>
        <v>20</v>
      </c>
    </row>
    <row r="231" spans="1:24">
      <c r="A231" s="25" t="s">
        <v>1237</v>
      </c>
      <c r="B231" s="25" t="s">
        <v>1044</v>
      </c>
      <c r="C231" s="25" t="s">
        <v>1043</v>
      </c>
      <c r="D231" s="25" t="s">
        <v>1042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943</f>
        <v>943</v>
      </c>
      <c r="L231" s="32" t="s">
        <v>1110</v>
      </c>
      <c r="M231" s="31">
        <f>957</f>
        <v>957</v>
      </c>
      <c r="N231" s="32" t="s">
        <v>1118</v>
      </c>
      <c r="O231" s="31">
        <f>933</f>
        <v>933</v>
      </c>
      <c r="P231" s="32" t="s">
        <v>1117</v>
      </c>
      <c r="Q231" s="31">
        <f>943</f>
        <v>943</v>
      </c>
      <c r="R231" s="32" t="s">
        <v>883</v>
      </c>
      <c r="S231" s="33">
        <f>945.5</f>
        <v>945.5</v>
      </c>
      <c r="T231" s="30">
        <f>197048</f>
        <v>197048</v>
      </c>
      <c r="U231" s="30" t="str">
        <f>"－"</f>
        <v>－</v>
      </c>
      <c r="V231" s="30">
        <f>186164689</f>
        <v>186164689</v>
      </c>
      <c r="W231" s="30" t="str">
        <f>"－"</f>
        <v>－</v>
      </c>
      <c r="X231" s="34">
        <f>20</f>
        <v>20</v>
      </c>
    </row>
    <row r="232" spans="1:24">
      <c r="A232" s="25" t="s">
        <v>1237</v>
      </c>
      <c r="B232" s="25" t="s">
        <v>1041</v>
      </c>
      <c r="C232" s="25" t="s">
        <v>1040</v>
      </c>
      <c r="D232" s="25" t="s">
        <v>1039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926</f>
        <v>926</v>
      </c>
      <c r="L232" s="32" t="s">
        <v>1110</v>
      </c>
      <c r="M232" s="31">
        <f>928</f>
        <v>928</v>
      </c>
      <c r="N232" s="32" t="s">
        <v>1110</v>
      </c>
      <c r="O232" s="31">
        <f>904</f>
        <v>904</v>
      </c>
      <c r="P232" s="32" t="s">
        <v>1117</v>
      </c>
      <c r="Q232" s="31">
        <f>907</f>
        <v>907</v>
      </c>
      <c r="R232" s="32" t="s">
        <v>883</v>
      </c>
      <c r="S232" s="33">
        <f>912.95</f>
        <v>912.95</v>
      </c>
      <c r="T232" s="30">
        <f>175881</f>
        <v>175881</v>
      </c>
      <c r="U232" s="30" t="str">
        <f>"－"</f>
        <v>－</v>
      </c>
      <c r="V232" s="30">
        <f>160805122</f>
        <v>160805122</v>
      </c>
      <c r="W232" s="30" t="str">
        <f>"－"</f>
        <v>－</v>
      </c>
      <c r="X232" s="34">
        <f>20</f>
        <v>20</v>
      </c>
    </row>
    <row r="233" spans="1:24">
      <c r="A233" s="25" t="s">
        <v>1237</v>
      </c>
      <c r="B233" s="25" t="s">
        <v>1038</v>
      </c>
      <c r="C233" s="25" t="s">
        <v>1037</v>
      </c>
      <c r="D233" s="25" t="s">
        <v>1036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954</f>
        <v>954</v>
      </c>
      <c r="L233" s="32" t="s">
        <v>1110</v>
      </c>
      <c r="M233" s="31">
        <f>956</f>
        <v>956</v>
      </c>
      <c r="N233" s="32" t="s">
        <v>1110</v>
      </c>
      <c r="O233" s="31">
        <f>926</f>
        <v>926</v>
      </c>
      <c r="P233" s="32" t="s">
        <v>1117</v>
      </c>
      <c r="Q233" s="31">
        <f>948</f>
        <v>948</v>
      </c>
      <c r="R233" s="32" t="s">
        <v>883</v>
      </c>
      <c r="S233" s="33">
        <f>944.35</f>
        <v>944.35</v>
      </c>
      <c r="T233" s="30">
        <f>29553</f>
        <v>29553</v>
      </c>
      <c r="U233" s="30" t="str">
        <f>"－"</f>
        <v>－</v>
      </c>
      <c r="V233" s="30">
        <f>27939527</f>
        <v>27939527</v>
      </c>
      <c r="W233" s="30" t="str">
        <f>"－"</f>
        <v>－</v>
      </c>
      <c r="X233" s="34">
        <f>20</f>
        <v>20</v>
      </c>
    </row>
    <row r="234" spans="1:24">
      <c r="A234" s="25" t="s">
        <v>1237</v>
      </c>
      <c r="B234" s="25" t="s">
        <v>1181</v>
      </c>
      <c r="C234" s="25" t="s">
        <v>1182</v>
      </c>
      <c r="D234" s="25" t="s">
        <v>1183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1435</f>
        <v>1435</v>
      </c>
      <c r="L234" s="32" t="s">
        <v>1110</v>
      </c>
      <c r="M234" s="31">
        <f>1470</f>
        <v>1470</v>
      </c>
      <c r="N234" s="32" t="s">
        <v>1114</v>
      </c>
      <c r="O234" s="31">
        <f>1423</f>
        <v>1423</v>
      </c>
      <c r="P234" s="32" t="s">
        <v>1117</v>
      </c>
      <c r="Q234" s="31">
        <f>1468</f>
        <v>1468</v>
      </c>
      <c r="R234" s="32" t="s">
        <v>883</v>
      </c>
      <c r="S234" s="33">
        <f>1449.5</f>
        <v>1449.5</v>
      </c>
      <c r="T234" s="30">
        <f>376007</f>
        <v>376007</v>
      </c>
      <c r="U234" s="30">
        <f>149322</f>
        <v>149322</v>
      </c>
      <c r="V234" s="30">
        <f>543138594</f>
        <v>543138594</v>
      </c>
      <c r="W234" s="30">
        <f>214988500</f>
        <v>214988500</v>
      </c>
      <c r="X234" s="34">
        <f>20</f>
        <v>20</v>
      </c>
    </row>
    <row r="235" spans="1:24">
      <c r="A235" s="25" t="s">
        <v>1237</v>
      </c>
      <c r="B235" s="25" t="s">
        <v>1200</v>
      </c>
      <c r="C235" s="25" t="s">
        <v>1199</v>
      </c>
      <c r="D235" s="25" t="s">
        <v>1198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150.4</f>
        <v>150.4</v>
      </c>
      <c r="L235" s="32" t="s">
        <v>1110</v>
      </c>
      <c r="M235" s="31">
        <f>160.9</f>
        <v>160.9</v>
      </c>
      <c r="N235" s="32" t="s">
        <v>1115</v>
      </c>
      <c r="O235" s="31">
        <f>142.4</f>
        <v>142.4</v>
      </c>
      <c r="P235" s="32" t="s">
        <v>1114</v>
      </c>
      <c r="Q235" s="31">
        <f>144.6</f>
        <v>144.6</v>
      </c>
      <c r="R235" s="32" t="s">
        <v>883</v>
      </c>
      <c r="S235" s="33">
        <f>150.68</f>
        <v>150.68</v>
      </c>
      <c r="T235" s="30">
        <f>3376140</f>
        <v>3376140</v>
      </c>
      <c r="U235" s="30">
        <f>135000</f>
        <v>135000</v>
      </c>
      <c r="V235" s="30">
        <f>508582314</f>
        <v>508582314</v>
      </c>
      <c r="W235" s="30">
        <f>20016180</f>
        <v>20016180</v>
      </c>
      <c r="X235" s="34">
        <f>20</f>
        <v>20</v>
      </c>
    </row>
    <row r="236" spans="1:24">
      <c r="A236" s="25" t="s">
        <v>1237</v>
      </c>
      <c r="B236" s="25" t="s">
        <v>1196</v>
      </c>
      <c r="C236" s="25" t="s">
        <v>1195</v>
      </c>
      <c r="D236" s="25" t="s">
        <v>1194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10</v>
      </c>
      <c r="K236" s="31">
        <f>437.8</f>
        <v>437.8</v>
      </c>
      <c r="L236" s="32" t="s">
        <v>1110</v>
      </c>
      <c r="M236" s="31">
        <f>457.6</f>
        <v>457.6</v>
      </c>
      <c r="N236" s="32" t="s">
        <v>1115</v>
      </c>
      <c r="O236" s="31">
        <f>404.4</f>
        <v>404.4</v>
      </c>
      <c r="P236" s="32" t="s">
        <v>1114</v>
      </c>
      <c r="Q236" s="31">
        <f>417</f>
        <v>417</v>
      </c>
      <c r="R236" s="32" t="s">
        <v>883</v>
      </c>
      <c r="S236" s="33">
        <f>430.05</f>
        <v>430.05</v>
      </c>
      <c r="T236" s="30">
        <f>835510</f>
        <v>835510</v>
      </c>
      <c r="U236" s="30" t="str">
        <f>"－"</f>
        <v>－</v>
      </c>
      <c r="V236" s="30">
        <f>358609338</f>
        <v>358609338</v>
      </c>
      <c r="W236" s="30" t="str">
        <f>"－"</f>
        <v>－</v>
      </c>
      <c r="X236" s="34">
        <f>20</f>
        <v>20</v>
      </c>
    </row>
    <row r="237" spans="1:24">
      <c r="A237" s="25" t="s">
        <v>1237</v>
      </c>
      <c r="B237" s="25" t="s">
        <v>868</v>
      </c>
      <c r="C237" s="25" t="s">
        <v>869</v>
      </c>
      <c r="D237" s="25" t="s">
        <v>870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2800</f>
        <v>2800</v>
      </c>
      <c r="L237" s="32" t="s">
        <v>1110</v>
      </c>
      <c r="M237" s="31">
        <f>3011</f>
        <v>3011</v>
      </c>
      <c r="N237" s="32" t="s">
        <v>676</v>
      </c>
      <c r="O237" s="31">
        <f>2769.5</f>
        <v>2769.5</v>
      </c>
      <c r="P237" s="32" t="s">
        <v>1110</v>
      </c>
      <c r="Q237" s="31">
        <f>2942</f>
        <v>2942</v>
      </c>
      <c r="R237" s="32" t="s">
        <v>883</v>
      </c>
      <c r="S237" s="33">
        <f>2938.3</f>
        <v>2938.3</v>
      </c>
      <c r="T237" s="30">
        <f>1069540</f>
        <v>1069540</v>
      </c>
      <c r="U237" s="30">
        <f>840040</f>
        <v>840040</v>
      </c>
      <c r="V237" s="30">
        <f>3166468195</f>
        <v>3166468195</v>
      </c>
      <c r="W237" s="30">
        <f>2485981565</f>
        <v>2485981565</v>
      </c>
      <c r="X237" s="34">
        <f>20</f>
        <v>20</v>
      </c>
    </row>
    <row r="238" spans="1:24">
      <c r="A238" s="25" t="s">
        <v>1237</v>
      </c>
      <c r="B238" s="25" t="s">
        <v>871</v>
      </c>
      <c r="C238" s="25" t="s">
        <v>872</v>
      </c>
      <c r="D238" s="25" t="s">
        <v>873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1280</f>
        <v>1280</v>
      </c>
      <c r="L238" s="32" t="s">
        <v>1110</v>
      </c>
      <c r="M238" s="31">
        <f>1355</f>
        <v>1355</v>
      </c>
      <c r="N238" s="32" t="s">
        <v>1117</v>
      </c>
      <c r="O238" s="31">
        <f>1278</f>
        <v>1278</v>
      </c>
      <c r="P238" s="32" t="s">
        <v>1110</v>
      </c>
      <c r="Q238" s="31">
        <f>1321</f>
        <v>1321</v>
      </c>
      <c r="R238" s="32" t="s">
        <v>883</v>
      </c>
      <c r="S238" s="33">
        <f>1330.65</f>
        <v>1330.65</v>
      </c>
      <c r="T238" s="30">
        <f>1841243</f>
        <v>1841243</v>
      </c>
      <c r="U238" s="30">
        <f>1062003</f>
        <v>1062003</v>
      </c>
      <c r="V238" s="30">
        <f>2448767537</f>
        <v>2448767537</v>
      </c>
      <c r="W238" s="30">
        <f>1414298093</f>
        <v>1414298093</v>
      </c>
      <c r="X238" s="34">
        <f>20</f>
        <v>20</v>
      </c>
    </row>
    <row r="239" spans="1:24">
      <c r="A239" s="25" t="s">
        <v>1237</v>
      </c>
      <c r="B239" s="25" t="s">
        <v>877</v>
      </c>
      <c r="C239" s="25" t="s">
        <v>878</v>
      </c>
      <c r="D239" s="25" t="s">
        <v>879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82420</f>
        <v>82420</v>
      </c>
      <c r="L239" s="32" t="s">
        <v>1110</v>
      </c>
      <c r="M239" s="31">
        <f>91500</f>
        <v>91500</v>
      </c>
      <c r="N239" s="32" t="s">
        <v>1114</v>
      </c>
      <c r="O239" s="31">
        <f>82250</f>
        <v>82250</v>
      </c>
      <c r="P239" s="32" t="s">
        <v>1110</v>
      </c>
      <c r="Q239" s="31">
        <f>90850</f>
        <v>90850</v>
      </c>
      <c r="R239" s="32" t="s">
        <v>883</v>
      </c>
      <c r="S239" s="33">
        <f>88987.5</f>
        <v>88987.5</v>
      </c>
      <c r="T239" s="30">
        <f>42978</f>
        <v>42978</v>
      </c>
      <c r="U239" s="30" t="str">
        <f>"－"</f>
        <v>－</v>
      </c>
      <c r="V239" s="30">
        <f>3808803000</f>
        <v>3808803000</v>
      </c>
      <c r="W239" s="30" t="str">
        <f>"－"</f>
        <v>－</v>
      </c>
      <c r="X239" s="34">
        <f>20</f>
        <v>20</v>
      </c>
    </row>
    <row r="240" spans="1:24">
      <c r="A240" s="25" t="s">
        <v>1237</v>
      </c>
      <c r="B240" s="25" t="s">
        <v>880</v>
      </c>
      <c r="C240" s="25" t="s">
        <v>881</v>
      </c>
      <c r="D240" s="25" t="s">
        <v>882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7030</f>
        <v>7030</v>
      </c>
      <c r="L240" s="32" t="s">
        <v>1110</v>
      </c>
      <c r="M240" s="31">
        <f>7039</f>
        <v>7039</v>
      </c>
      <c r="N240" s="32" t="s">
        <v>1110</v>
      </c>
      <c r="O240" s="31">
        <f>6661</f>
        <v>6661</v>
      </c>
      <c r="P240" s="32" t="s">
        <v>1111</v>
      </c>
      <c r="Q240" s="31">
        <f>6673</f>
        <v>6673</v>
      </c>
      <c r="R240" s="32" t="s">
        <v>883</v>
      </c>
      <c r="S240" s="33">
        <f>6774.15</f>
        <v>6774.15</v>
      </c>
      <c r="T240" s="30">
        <f>126267</f>
        <v>126267</v>
      </c>
      <c r="U240" s="30">
        <f>46349</f>
        <v>46349</v>
      </c>
      <c r="V240" s="30">
        <f>855525170</f>
        <v>855525170</v>
      </c>
      <c r="W240" s="30">
        <f>312964509</f>
        <v>312964509</v>
      </c>
      <c r="X240" s="34">
        <f>20</f>
        <v>20</v>
      </c>
    </row>
    <row r="241" spans="1:24">
      <c r="A241" s="25" t="s">
        <v>1237</v>
      </c>
      <c r="B241" s="25" t="s">
        <v>884</v>
      </c>
      <c r="C241" s="25" t="s">
        <v>885</v>
      </c>
      <c r="D241" s="25" t="s">
        <v>886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10</v>
      </c>
      <c r="K241" s="31">
        <f>17845</f>
        <v>17845</v>
      </c>
      <c r="L241" s="32" t="s">
        <v>1110</v>
      </c>
      <c r="M241" s="31">
        <f>19900</f>
        <v>19900</v>
      </c>
      <c r="N241" s="32" t="s">
        <v>684</v>
      </c>
      <c r="O241" s="31">
        <f>17805</f>
        <v>17805</v>
      </c>
      <c r="P241" s="32" t="s">
        <v>1110</v>
      </c>
      <c r="Q241" s="31">
        <f>19790</f>
        <v>19790</v>
      </c>
      <c r="R241" s="32" t="s">
        <v>883</v>
      </c>
      <c r="S241" s="33">
        <f>19270</f>
        <v>19270</v>
      </c>
      <c r="T241" s="30">
        <f>104300</f>
        <v>104300</v>
      </c>
      <c r="U241" s="30" t="str">
        <f>"－"</f>
        <v>－</v>
      </c>
      <c r="V241" s="30">
        <f>1991941850</f>
        <v>1991941850</v>
      </c>
      <c r="W241" s="30" t="str">
        <f>"－"</f>
        <v>－</v>
      </c>
      <c r="X241" s="34">
        <f>20</f>
        <v>20</v>
      </c>
    </row>
    <row r="242" spans="1:24">
      <c r="A242" s="25" t="s">
        <v>1237</v>
      </c>
      <c r="B242" s="25" t="s">
        <v>1192</v>
      </c>
      <c r="C242" s="25" t="s">
        <v>1191</v>
      </c>
      <c r="D242" s="25" t="s">
        <v>1190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1000</f>
        <v>1000</v>
      </c>
      <c r="L242" s="32" t="s">
        <v>1110</v>
      </c>
      <c r="M242" s="31">
        <f>1090</f>
        <v>1090</v>
      </c>
      <c r="N242" s="32" t="s">
        <v>1117</v>
      </c>
      <c r="O242" s="31">
        <f>998</f>
        <v>998</v>
      </c>
      <c r="P242" s="32" t="s">
        <v>1110</v>
      </c>
      <c r="Q242" s="31">
        <f>1042</f>
        <v>1042</v>
      </c>
      <c r="R242" s="32" t="s">
        <v>883</v>
      </c>
      <c r="S242" s="33">
        <f>1059.3</f>
        <v>1059.3</v>
      </c>
      <c r="T242" s="30">
        <f>195003</f>
        <v>195003</v>
      </c>
      <c r="U242" s="30" t="str">
        <f>"－"</f>
        <v>－</v>
      </c>
      <c r="V242" s="30">
        <f>205525725</f>
        <v>205525725</v>
      </c>
      <c r="W242" s="30" t="str">
        <f>"－"</f>
        <v>－</v>
      </c>
      <c r="X242" s="34">
        <f>20</f>
        <v>20</v>
      </c>
    </row>
    <row r="243" spans="1:24">
      <c r="A243" s="25" t="s">
        <v>1237</v>
      </c>
      <c r="B243" s="25" t="s">
        <v>887</v>
      </c>
      <c r="C243" s="25" t="s">
        <v>888</v>
      </c>
      <c r="D243" s="25" t="s">
        <v>889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7077</f>
        <v>7077</v>
      </c>
      <c r="L243" s="32" t="s">
        <v>1110</v>
      </c>
      <c r="M243" s="31">
        <f>7086</f>
        <v>7086</v>
      </c>
      <c r="N243" s="32" t="s">
        <v>674</v>
      </c>
      <c r="O243" s="31">
        <f>6700</f>
        <v>6700</v>
      </c>
      <c r="P243" s="32" t="s">
        <v>679</v>
      </c>
      <c r="Q243" s="31">
        <f>6724</f>
        <v>6724</v>
      </c>
      <c r="R243" s="32" t="s">
        <v>883</v>
      </c>
      <c r="S243" s="33">
        <f>6809.35</f>
        <v>6809.35</v>
      </c>
      <c r="T243" s="30">
        <f>14560</f>
        <v>14560</v>
      </c>
      <c r="U243" s="30" t="str">
        <f>"－"</f>
        <v>－</v>
      </c>
      <c r="V243" s="30">
        <f>99817780</f>
        <v>99817780</v>
      </c>
      <c r="W243" s="30" t="str">
        <f>"－"</f>
        <v>－</v>
      </c>
      <c r="X243" s="34">
        <f>20</f>
        <v>20</v>
      </c>
    </row>
    <row r="244" spans="1:24">
      <c r="A244" s="25" t="s">
        <v>1237</v>
      </c>
      <c r="B244" s="25" t="s">
        <v>890</v>
      </c>
      <c r="C244" s="25" t="s">
        <v>891</v>
      </c>
      <c r="D244" s="25" t="s">
        <v>892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718.4</f>
        <v>718.4</v>
      </c>
      <c r="L244" s="32" t="s">
        <v>1110</v>
      </c>
      <c r="M244" s="31">
        <f>791</f>
        <v>791</v>
      </c>
      <c r="N244" s="32" t="s">
        <v>1114</v>
      </c>
      <c r="O244" s="31">
        <f>709.5</f>
        <v>709.5</v>
      </c>
      <c r="P244" s="32" t="s">
        <v>1110</v>
      </c>
      <c r="Q244" s="31">
        <f>750.4</f>
        <v>750.4</v>
      </c>
      <c r="R244" s="32" t="s">
        <v>883</v>
      </c>
      <c r="S244" s="33">
        <f>754.81</f>
        <v>754.81</v>
      </c>
      <c r="T244" s="30">
        <f>2078920</f>
        <v>2078920</v>
      </c>
      <c r="U244" s="30">
        <f>610000</f>
        <v>610000</v>
      </c>
      <c r="V244" s="30">
        <f>1562831148</f>
        <v>1562831148</v>
      </c>
      <c r="W244" s="30">
        <f>457254700</f>
        <v>457254700</v>
      </c>
      <c r="X244" s="34">
        <f>20</f>
        <v>20</v>
      </c>
    </row>
    <row r="245" spans="1:24">
      <c r="A245" s="25" t="s">
        <v>1237</v>
      </c>
      <c r="B245" s="25" t="s">
        <v>893</v>
      </c>
      <c r="C245" s="25" t="s">
        <v>894</v>
      </c>
      <c r="D245" s="25" t="s">
        <v>895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578</f>
        <v>578</v>
      </c>
      <c r="L245" s="32" t="s">
        <v>1110</v>
      </c>
      <c r="M245" s="31">
        <f>636</f>
        <v>636</v>
      </c>
      <c r="N245" s="32" t="s">
        <v>1114</v>
      </c>
      <c r="O245" s="31">
        <f>576.4</f>
        <v>576.4</v>
      </c>
      <c r="P245" s="32" t="s">
        <v>1110</v>
      </c>
      <c r="Q245" s="31">
        <f>613.9</f>
        <v>613.9</v>
      </c>
      <c r="R245" s="32" t="s">
        <v>883</v>
      </c>
      <c r="S245" s="33">
        <f>602.97</f>
        <v>602.97</v>
      </c>
      <c r="T245" s="30">
        <f>5750880</f>
        <v>5750880</v>
      </c>
      <c r="U245" s="30">
        <f>5372920</f>
        <v>5372920</v>
      </c>
      <c r="V245" s="30">
        <f>3481062534</f>
        <v>3481062534</v>
      </c>
      <c r="W245" s="30">
        <f>3254687089</f>
        <v>3254687089</v>
      </c>
      <c r="X245" s="34">
        <f>20</f>
        <v>20</v>
      </c>
    </row>
    <row r="246" spans="1:24">
      <c r="A246" s="25" t="s">
        <v>1237</v>
      </c>
      <c r="B246" s="25" t="s">
        <v>934</v>
      </c>
      <c r="C246" s="25" t="s">
        <v>935</v>
      </c>
      <c r="D246" s="25" t="s">
        <v>936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1815</f>
        <v>1815</v>
      </c>
      <c r="L246" s="32" t="s">
        <v>1110</v>
      </c>
      <c r="M246" s="31">
        <f>1961</f>
        <v>1961</v>
      </c>
      <c r="N246" s="32" t="s">
        <v>1113</v>
      </c>
      <c r="O246" s="31">
        <f>1747</f>
        <v>1747</v>
      </c>
      <c r="P246" s="32" t="s">
        <v>883</v>
      </c>
      <c r="Q246" s="31">
        <f>1765</f>
        <v>1765</v>
      </c>
      <c r="R246" s="32" t="s">
        <v>883</v>
      </c>
      <c r="S246" s="33">
        <f>1848.7</f>
        <v>1848.7</v>
      </c>
      <c r="T246" s="30">
        <f>9225586</f>
        <v>9225586</v>
      </c>
      <c r="U246" s="30">
        <f>586190</f>
        <v>586190</v>
      </c>
      <c r="V246" s="30">
        <f>17057443210</f>
        <v>17057443210</v>
      </c>
      <c r="W246" s="30">
        <f>1136895963</f>
        <v>1136895963</v>
      </c>
      <c r="X246" s="34">
        <f>20</f>
        <v>20</v>
      </c>
    </row>
    <row r="247" spans="1:24">
      <c r="A247" s="25" t="s">
        <v>1237</v>
      </c>
      <c r="B247" s="25" t="s">
        <v>937</v>
      </c>
      <c r="C247" s="25" t="s">
        <v>938</v>
      </c>
      <c r="D247" s="25" t="s">
        <v>939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2183</f>
        <v>2183</v>
      </c>
      <c r="L247" s="32" t="s">
        <v>1110</v>
      </c>
      <c r="M247" s="31">
        <f>2399</f>
        <v>2399</v>
      </c>
      <c r="N247" s="32" t="s">
        <v>1117</v>
      </c>
      <c r="O247" s="31">
        <f>2178</f>
        <v>2178</v>
      </c>
      <c r="P247" s="32" t="s">
        <v>1110</v>
      </c>
      <c r="Q247" s="31">
        <f>2252</f>
        <v>2252</v>
      </c>
      <c r="R247" s="32" t="s">
        <v>883</v>
      </c>
      <c r="S247" s="33">
        <f>2318.85</f>
        <v>2318.85</v>
      </c>
      <c r="T247" s="30">
        <f>9139376</f>
        <v>9139376</v>
      </c>
      <c r="U247" s="30">
        <f>22790</f>
        <v>22790</v>
      </c>
      <c r="V247" s="30">
        <f>21229337183</f>
        <v>21229337183</v>
      </c>
      <c r="W247" s="30">
        <f>52872303</f>
        <v>52872303</v>
      </c>
      <c r="X247" s="34">
        <f>20</f>
        <v>20</v>
      </c>
    </row>
    <row r="248" spans="1:24">
      <c r="A248" s="25" t="s">
        <v>1237</v>
      </c>
      <c r="B248" s="25" t="s">
        <v>940</v>
      </c>
      <c r="C248" s="25" t="s">
        <v>941</v>
      </c>
      <c r="D248" s="25" t="s">
        <v>942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793.3</f>
        <v>793.3</v>
      </c>
      <c r="L248" s="32" t="s">
        <v>1110</v>
      </c>
      <c r="M248" s="31">
        <f>793.3</f>
        <v>793.3</v>
      </c>
      <c r="N248" s="32" t="s">
        <v>1110</v>
      </c>
      <c r="O248" s="31">
        <f>760</f>
        <v>760</v>
      </c>
      <c r="P248" s="32" t="s">
        <v>1124</v>
      </c>
      <c r="Q248" s="31">
        <f>777.5</f>
        <v>777.5</v>
      </c>
      <c r="R248" s="32" t="s">
        <v>883</v>
      </c>
      <c r="S248" s="33">
        <f>767.94</f>
        <v>767.94</v>
      </c>
      <c r="T248" s="30">
        <f>3670</f>
        <v>3670</v>
      </c>
      <c r="U248" s="30" t="str">
        <f>"－"</f>
        <v>－</v>
      </c>
      <c r="V248" s="30">
        <f>2818800</f>
        <v>2818800</v>
      </c>
      <c r="W248" s="30" t="str">
        <f>"－"</f>
        <v>－</v>
      </c>
      <c r="X248" s="34">
        <f>17</f>
        <v>17</v>
      </c>
    </row>
    <row r="249" spans="1:24">
      <c r="A249" s="25" t="s">
        <v>1237</v>
      </c>
      <c r="B249" s="25" t="s">
        <v>943</v>
      </c>
      <c r="C249" s="25" t="s">
        <v>944</v>
      </c>
      <c r="D249" s="25" t="s">
        <v>945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761.9</f>
        <v>761.9</v>
      </c>
      <c r="L249" s="32" t="s">
        <v>1110</v>
      </c>
      <c r="M249" s="31">
        <f>849</f>
        <v>849</v>
      </c>
      <c r="N249" s="32" t="s">
        <v>677</v>
      </c>
      <c r="O249" s="31">
        <f>756.9</f>
        <v>756.9</v>
      </c>
      <c r="P249" s="32" t="s">
        <v>1124</v>
      </c>
      <c r="Q249" s="31">
        <f>771</f>
        <v>771</v>
      </c>
      <c r="R249" s="32" t="s">
        <v>883</v>
      </c>
      <c r="S249" s="33">
        <f>763.27</f>
        <v>763.27</v>
      </c>
      <c r="T249" s="30">
        <f>230120</f>
        <v>230120</v>
      </c>
      <c r="U249" s="30" t="str">
        <f>"－"</f>
        <v>－</v>
      </c>
      <c r="V249" s="30">
        <f>174450906</f>
        <v>174450906</v>
      </c>
      <c r="W249" s="30" t="str">
        <f>"－"</f>
        <v>－</v>
      </c>
      <c r="X249" s="34">
        <f>14</f>
        <v>14</v>
      </c>
    </row>
    <row r="250" spans="1:24">
      <c r="A250" s="25" t="s">
        <v>1237</v>
      </c>
      <c r="B250" s="25" t="s">
        <v>952</v>
      </c>
      <c r="C250" s="25" t="s">
        <v>953</v>
      </c>
      <c r="D250" s="25" t="s">
        <v>954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16490</f>
        <v>16490</v>
      </c>
      <c r="L250" s="32" t="s">
        <v>1110</v>
      </c>
      <c r="M250" s="31">
        <f>17545</f>
        <v>17545</v>
      </c>
      <c r="N250" s="32" t="s">
        <v>1117</v>
      </c>
      <c r="O250" s="31">
        <f>16280</f>
        <v>16280</v>
      </c>
      <c r="P250" s="32" t="s">
        <v>1110</v>
      </c>
      <c r="Q250" s="31">
        <f>16955</f>
        <v>16955</v>
      </c>
      <c r="R250" s="32" t="s">
        <v>883</v>
      </c>
      <c r="S250" s="33">
        <f>17143.75</f>
        <v>17143.75</v>
      </c>
      <c r="T250" s="30">
        <f>339239</f>
        <v>339239</v>
      </c>
      <c r="U250" s="30">
        <f>22</f>
        <v>22</v>
      </c>
      <c r="V250" s="30">
        <f>5768317175</f>
        <v>5768317175</v>
      </c>
      <c r="W250" s="30">
        <f>360480</f>
        <v>360480</v>
      </c>
      <c r="X250" s="34">
        <f>20</f>
        <v>20</v>
      </c>
    </row>
    <row r="251" spans="1:24">
      <c r="A251" s="25" t="s">
        <v>1237</v>
      </c>
      <c r="B251" s="25" t="s">
        <v>955</v>
      </c>
      <c r="C251" s="25" t="s">
        <v>956</v>
      </c>
      <c r="D251" s="25" t="s">
        <v>957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43990</f>
        <v>43990</v>
      </c>
      <c r="L251" s="32" t="s">
        <v>1110</v>
      </c>
      <c r="M251" s="31">
        <f>46630</f>
        <v>46630</v>
      </c>
      <c r="N251" s="32" t="s">
        <v>1123</v>
      </c>
      <c r="O251" s="31">
        <f>43910</f>
        <v>43910</v>
      </c>
      <c r="P251" s="32" t="s">
        <v>1110</v>
      </c>
      <c r="Q251" s="31">
        <f>46190</f>
        <v>46190</v>
      </c>
      <c r="R251" s="32" t="s">
        <v>883</v>
      </c>
      <c r="S251" s="33">
        <f>45667</f>
        <v>45667</v>
      </c>
      <c r="T251" s="30">
        <f>160950</f>
        <v>160950</v>
      </c>
      <c r="U251" s="30" t="str">
        <f>"－"</f>
        <v>－</v>
      </c>
      <c r="V251" s="30">
        <f>7294090720</f>
        <v>7294090720</v>
      </c>
      <c r="W251" s="30" t="str">
        <f>"－"</f>
        <v>－</v>
      </c>
      <c r="X251" s="34">
        <f>20</f>
        <v>20</v>
      </c>
    </row>
    <row r="252" spans="1:24">
      <c r="A252" s="25" t="s">
        <v>1237</v>
      </c>
      <c r="B252" s="25" t="s">
        <v>958</v>
      </c>
      <c r="C252" s="25" t="s">
        <v>959</v>
      </c>
      <c r="D252" s="25" t="s">
        <v>960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17975</f>
        <v>17975</v>
      </c>
      <c r="L252" s="32" t="s">
        <v>1110</v>
      </c>
      <c r="M252" s="31">
        <f>18010</f>
        <v>18010</v>
      </c>
      <c r="N252" s="32" t="s">
        <v>1110</v>
      </c>
      <c r="O252" s="31">
        <f>16005</f>
        <v>16005</v>
      </c>
      <c r="P252" s="32" t="s">
        <v>1114</v>
      </c>
      <c r="Q252" s="31">
        <f>16205</f>
        <v>16205</v>
      </c>
      <c r="R252" s="32" t="s">
        <v>883</v>
      </c>
      <c r="S252" s="33">
        <f>16621.25</f>
        <v>16621.25</v>
      </c>
      <c r="T252" s="30">
        <f>59080</f>
        <v>59080</v>
      </c>
      <c r="U252" s="30">
        <f>8</f>
        <v>8</v>
      </c>
      <c r="V252" s="30">
        <f>996434470</f>
        <v>996434470</v>
      </c>
      <c r="W252" s="30">
        <f>133895</f>
        <v>133895</v>
      </c>
      <c r="X252" s="34">
        <f>20</f>
        <v>20</v>
      </c>
    </row>
    <row r="253" spans="1:24">
      <c r="A253" s="25" t="s">
        <v>1237</v>
      </c>
      <c r="B253" s="25" t="s">
        <v>1189</v>
      </c>
      <c r="C253" s="25" t="s">
        <v>1188</v>
      </c>
      <c r="D253" s="25" t="s">
        <v>1187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</v>
      </c>
      <c r="K253" s="31">
        <f>1059</f>
        <v>1059</v>
      </c>
      <c r="L253" s="32" t="s">
        <v>1110</v>
      </c>
      <c r="M253" s="31">
        <f>1168</f>
        <v>1168</v>
      </c>
      <c r="N253" s="32" t="s">
        <v>679</v>
      </c>
      <c r="O253" s="31">
        <f>1024</f>
        <v>1024</v>
      </c>
      <c r="P253" s="32" t="s">
        <v>674</v>
      </c>
      <c r="Q253" s="31">
        <f>1094</f>
        <v>1094</v>
      </c>
      <c r="R253" s="32" t="s">
        <v>883</v>
      </c>
      <c r="S253" s="33">
        <f>1090.65</f>
        <v>1090.6500000000001</v>
      </c>
      <c r="T253" s="30">
        <f>404017</f>
        <v>404017</v>
      </c>
      <c r="U253" s="30" t="str">
        <f>"－"</f>
        <v>－</v>
      </c>
      <c r="V253" s="30">
        <f>442965007</f>
        <v>442965007</v>
      </c>
      <c r="W253" s="30" t="str">
        <f>"－"</f>
        <v>－</v>
      </c>
      <c r="X253" s="34">
        <f>20</f>
        <v>20</v>
      </c>
    </row>
    <row r="254" spans="1:24">
      <c r="A254" s="25" t="s">
        <v>1237</v>
      </c>
      <c r="B254" s="25" t="s">
        <v>961</v>
      </c>
      <c r="C254" s="25" t="s">
        <v>962</v>
      </c>
      <c r="D254" s="25" t="s">
        <v>963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239.1</f>
        <v>239.1</v>
      </c>
      <c r="L254" s="32" t="s">
        <v>1110</v>
      </c>
      <c r="M254" s="31">
        <f>252.9</f>
        <v>252.9</v>
      </c>
      <c r="N254" s="32" t="s">
        <v>676</v>
      </c>
      <c r="O254" s="31">
        <f>238.3</f>
        <v>238.3</v>
      </c>
      <c r="P254" s="32" t="s">
        <v>1110</v>
      </c>
      <c r="Q254" s="31">
        <f>240.7</f>
        <v>240.7</v>
      </c>
      <c r="R254" s="32" t="s">
        <v>883</v>
      </c>
      <c r="S254" s="33">
        <f>243.37</f>
        <v>243.37</v>
      </c>
      <c r="T254" s="30">
        <f>24620</f>
        <v>24620</v>
      </c>
      <c r="U254" s="30" t="str">
        <f>"－"</f>
        <v>－</v>
      </c>
      <c r="V254" s="30">
        <f>5955294</f>
        <v>5955294</v>
      </c>
      <c r="W254" s="30" t="str">
        <f>"－"</f>
        <v>－</v>
      </c>
      <c r="X254" s="34">
        <f>20</f>
        <v>20</v>
      </c>
    </row>
    <row r="255" spans="1:24">
      <c r="A255" s="25" t="s">
        <v>1237</v>
      </c>
      <c r="B255" s="25" t="s">
        <v>964</v>
      </c>
      <c r="C255" s="25" t="s">
        <v>965</v>
      </c>
      <c r="D255" s="25" t="s">
        <v>966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764.5</f>
        <v>764.5</v>
      </c>
      <c r="L255" s="32" t="s">
        <v>1110</v>
      </c>
      <c r="M255" s="31">
        <f>768.9</f>
        <v>768.9</v>
      </c>
      <c r="N255" s="32" t="s">
        <v>874</v>
      </c>
      <c r="O255" s="31">
        <f>747.1</f>
        <v>747.1</v>
      </c>
      <c r="P255" s="32" t="s">
        <v>1124</v>
      </c>
      <c r="Q255" s="31">
        <f>764.2</f>
        <v>764.2</v>
      </c>
      <c r="R255" s="32" t="s">
        <v>883</v>
      </c>
      <c r="S255" s="33">
        <f>761.89</f>
        <v>761.89</v>
      </c>
      <c r="T255" s="30">
        <f>20219440</f>
        <v>20219440</v>
      </c>
      <c r="U255" s="30">
        <f>18328250</f>
        <v>18328250</v>
      </c>
      <c r="V255" s="30">
        <f>15460163730</f>
        <v>15460163730</v>
      </c>
      <c r="W255" s="30">
        <f>14020656550</f>
        <v>14020656550</v>
      </c>
      <c r="X255" s="34">
        <f>20</f>
        <v>20</v>
      </c>
    </row>
    <row r="256" spans="1:24">
      <c r="A256" s="25" t="s">
        <v>1237</v>
      </c>
      <c r="B256" s="25" t="s">
        <v>982</v>
      </c>
      <c r="C256" s="25" t="s">
        <v>983</v>
      </c>
      <c r="D256" s="25" t="s">
        <v>984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</v>
      </c>
      <c r="K256" s="31">
        <f>1223</f>
        <v>1223</v>
      </c>
      <c r="L256" s="32" t="s">
        <v>1110</v>
      </c>
      <c r="M256" s="31">
        <f>1336</f>
        <v>1336</v>
      </c>
      <c r="N256" s="32" t="s">
        <v>676</v>
      </c>
      <c r="O256" s="31">
        <f>1204</f>
        <v>1204</v>
      </c>
      <c r="P256" s="32" t="s">
        <v>1110</v>
      </c>
      <c r="Q256" s="31">
        <f>1285</f>
        <v>1285</v>
      </c>
      <c r="R256" s="32" t="s">
        <v>883</v>
      </c>
      <c r="S256" s="33">
        <f>1280.35</f>
        <v>1280.3499999999999</v>
      </c>
      <c r="T256" s="30">
        <f>612228</f>
        <v>612228</v>
      </c>
      <c r="U256" s="30" t="str">
        <f>"－"</f>
        <v>－</v>
      </c>
      <c r="V256" s="30">
        <f>783318981</f>
        <v>783318981</v>
      </c>
      <c r="W256" s="30" t="str">
        <f>"－"</f>
        <v>－</v>
      </c>
      <c r="X256" s="34">
        <f>20</f>
        <v>20</v>
      </c>
    </row>
    <row r="257" spans="1:24">
      <c r="A257" s="25" t="s">
        <v>1237</v>
      </c>
      <c r="B257" s="25" t="s">
        <v>985</v>
      </c>
      <c r="C257" s="25" t="s">
        <v>986</v>
      </c>
      <c r="D257" s="25" t="s">
        <v>987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1215</f>
        <v>1215</v>
      </c>
      <c r="L257" s="32" t="s">
        <v>1110</v>
      </c>
      <c r="M257" s="31">
        <f>1283</f>
        <v>1283</v>
      </c>
      <c r="N257" s="32" t="s">
        <v>1118</v>
      </c>
      <c r="O257" s="31">
        <f>1196</f>
        <v>1196</v>
      </c>
      <c r="P257" s="32" t="s">
        <v>674</v>
      </c>
      <c r="Q257" s="31">
        <f>1234</f>
        <v>1234</v>
      </c>
      <c r="R257" s="32" t="s">
        <v>883</v>
      </c>
      <c r="S257" s="33">
        <f>1243.45</f>
        <v>1243.45</v>
      </c>
      <c r="T257" s="30">
        <f>277397</f>
        <v>277397</v>
      </c>
      <c r="U257" s="30">
        <f>2</f>
        <v>2</v>
      </c>
      <c r="V257" s="30">
        <f>344734081</f>
        <v>344734081</v>
      </c>
      <c r="W257" s="30">
        <f>2352</f>
        <v>2352</v>
      </c>
      <c r="X257" s="34">
        <f>20</f>
        <v>20</v>
      </c>
    </row>
    <row r="258" spans="1:24">
      <c r="A258" s="25" t="s">
        <v>1237</v>
      </c>
      <c r="B258" s="25" t="s">
        <v>988</v>
      </c>
      <c r="C258" s="25" t="s">
        <v>989</v>
      </c>
      <c r="D258" s="25" t="s">
        <v>990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</v>
      </c>
      <c r="K258" s="31">
        <f>889</f>
        <v>889</v>
      </c>
      <c r="L258" s="32" t="s">
        <v>1110</v>
      </c>
      <c r="M258" s="31">
        <f>1006</f>
        <v>1006</v>
      </c>
      <c r="N258" s="32" t="s">
        <v>677</v>
      </c>
      <c r="O258" s="31">
        <f>869</f>
        <v>869</v>
      </c>
      <c r="P258" s="32" t="s">
        <v>1111</v>
      </c>
      <c r="Q258" s="31">
        <f>888</f>
        <v>888</v>
      </c>
      <c r="R258" s="32" t="s">
        <v>883</v>
      </c>
      <c r="S258" s="33">
        <f>931.9</f>
        <v>931.9</v>
      </c>
      <c r="T258" s="30">
        <f>1091193</f>
        <v>1091193</v>
      </c>
      <c r="U258" s="30" t="str">
        <f>"－"</f>
        <v>－</v>
      </c>
      <c r="V258" s="30">
        <f>1024916907</f>
        <v>1024916907</v>
      </c>
      <c r="W258" s="30" t="str">
        <f>"－"</f>
        <v>－</v>
      </c>
      <c r="X258" s="34">
        <f>20</f>
        <v>20</v>
      </c>
    </row>
    <row r="259" spans="1:24">
      <c r="A259" s="25" t="s">
        <v>1237</v>
      </c>
      <c r="B259" s="25" t="s">
        <v>1059</v>
      </c>
      <c r="C259" s="25" t="s">
        <v>1060</v>
      </c>
      <c r="D259" s="25" t="s">
        <v>1061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213.2</f>
        <v>213.2</v>
      </c>
      <c r="L259" s="32" t="s">
        <v>1110</v>
      </c>
      <c r="M259" s="31">
        <f>216</f>
        <v>216</v>
      </c>
      <c r="N259" s="32" t="s">
        <v>676</v>
      </c>
      <c r="O259" s="31">
        <f>209.7</f>
        <v>209.7</v>
      </c>
      <c r="P259" s="32" t="s">
        <v>1124</v>
      </c>
      <c r="Q259" s="31">
        <f>212.5</f>
        <v>212.5</v>
      </c>
      <c r="R259" s="32" t="s">
        <v>883</v>
      </c>
      <c r="S259" s="33">
        <f>212.86</f>
        <v>212.86</v>
      </c>
      <c r="T259" s="30">
        <f>7315980</f>
        <v>7315980</v>
      </c>
      <c r="U259" s="30">
        <f>56370</f>
        <v>56370</v>
      </c>
      <c r="V259" s="30">
        <f>1555659502</f>
        <v>1555659502</v>
      </c>
      <c r="W259" s="30">
        <f>12073301</f>
        <v>12073301</v>
      </c>
      <c r="X259" s="34">
        <f>20</f>
        <v>20</v>
      </c>
    </row>
    <row r="260" spans="1:24">
      <c r="A260" s="25" t="s">
        <v>1237</v>
      </c>
      <c r="B260" s="25" t="s">
        <v>1062</v>
      </c>
      <c r="C260" s="25" t="s">
        <v>1063</v>
      </c>
      <c r="D260" s="25" t="s">
        <v>1064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213.8</f>
        <v>213.8</v>
      </c>
      <c r="L260" s="32" t="s">
        <v>1110</v>
      </c>
      <c r="M260" s="31">
        <f>217.1</f>
        <v>217.1</v>
      </c>
      <c r="N260" s="32" t="s">
        <v>875</v>
      </c>
      <c r="O260" s="31">
        <f>210.1</f>
        <v>210.1</v>
      </c>
      <c r="P260" s="32" t="s">
        <v>1124</v>
      </c>
      <c r="Q260" s="31">
        <f>211</f>
        <v>211</v>
      </c>
      <c r="R260" s="32" t="s">
        <v>883</v>
      </c>
      <c r="S260" s="33">
        <f>214.07</f>
        <v>214.07</v>
      </c>
      <c r="T260" s="30">
        <f>572320</f>
        <v>572320</v>
      </c>
      <c r="U260" s="30" t="str">
        <f>"－"</f>
        <v>－</v>
      </c>
      <c r="V260" s="30">
        <f>122426546</f>
        <v>122426546</v>
      </c>
      <c r="W260" s="30" t="str">
        <f>"－"</f>
        <v>－</v>
      </c>
      <c r="X260" s="34">
        <f>20</f>
        <v>20</v>
      </c>
    </row>
    <row r="261" spans="1:24">
      <c r="A261" s="25" t="s">
        <v>1237</v>
      </c>
      <c r="B261" s="25" t="s">
        <v>1065</v>
      </c>
      <c r="C261" s="25" t="s">
        <v>1066</v>
      </c>
      <c r="D261" s="25" t="s">
        <v>1067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213.9</f>
        <v>213.9</v>
      </c>
      <c r="L261" s="32" t="s">
        <v>1110</v>
      </c>
      <c r="M261" s="31">
        <f>219</f>
        <v>219</v>
      </c>
      <c r="N261" s="32" t="s">
        <v>875</v>
      </c>
      <c r="O261" s="31">
        <f>212.3</f>
        <v>212.3</v>
      </c>
      <c r="P261" s="32" t="s">
        <v>883</v>
      </c>
      <c r="Q261" s="31">
        <f>212.5</f>
        <v>212.5</v>
      </c>
      <c r="R261" s="32" t="s">
        <v>883</v>
      </c>
      <c r="S261" s="33">
        <f>216.08</f>
        <v>216.08</v>
      </c>
      <c r="T261" s="30">
        <f>231420</f>
        <v>231420</v>
      </c>
      <c r="U261" s="30">
        <f>23940</f>
        <v>23940</v>
      </c>
      <c r="V261" s="30">
        <f>50093874</f>
        <v>50093874</v>
      </c>
      <c r="W261" s="30">
        <f>5184030</f>
        <v>5184030</v>
      </c>
      <c r="X261" s="34">
        <f>20</f>
        <v>20</v>
      </c>
    </row>
    <row r="262" spans="1:24">
      <c r="A262" s="25" t="s">
        <v>1237</v>
      </c>
      <c r="B262" s="25" t="s">
        <v>1068</v>
      </c>
      <c r="C262" s="25" t="s">
        <v>1069</v>
      </c>
      <c r="D262" s="25" t="s">
        <v>1070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214</f>
        <v>214</v>
      </c>
      <c r="L262" s="32" t="s">
        <v>1110</v>
      </c>
      <c r="M262" s="31">
        <f>223.2</f>
        <v>223.2</v>
      </c>
      <c r="N262" s="32" t="s">
        <v>875</v>
      </c>
      <c r="O262" s="31">
        <f>214</f>
        <v>214</v>
      </c>
      <c r="P262" s="32" t="s">
        <v>1110</v>
      </c>
      <c r="Q262" s="31">
        <f>216.1</f>
        <v>216.1</v>
      </c>
      <c r="R262" s="32" t="s">
        <v>883</v>
      </c>
      <c r="S262" s="33">
        <f>219.89</f>
        <v>219.89</v>
      </c>
      <c r="T262" s="30">
        <f>538100</f>
        <v>538100</v>
      </c>
      <c r="U262" s="30">
        <f>1150</f>
        <v>1150</v>
      </c>
      <c r="V262" s="30">
        <f>118485902</f>
        <v>118485902</v>
      </c>
      <c r="W262" s="30">
        <f>240805</f>
        <v>240805</v>
      </c>
      <c r="X262" s="34">
        <f>20</f>
        <v>20</v>
      </c>
    </row>
    <row r="263" spans="1:24">
      <c r="A263" s="25" t="s">
        <v>1237</v>
      </c>
      <c r="B263" s="25" t="s">
        <v>1071</v>
      </c>
      <c r="C263" s="25" t="s">
        <v>1072</v>
      </c>
      <c r="D263" s="25" t="s">
        <v>1073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197.7</f>
        <v>197.7</v>
      </c>
      <c r="L263" s="32" t="s">
        <v>1110</v>
      </c>
      <c r="M263" s="31">
        <f>201</f>
        <v>201</v>
      </c>
      <c r="N263" s="32" t="s">
        <v>678</v>
      </c>
      <c r="O263" s="31">
        <f>195</f>
        <v>195</v>
      </c>
      <c r="P263" s="32" t="s">
        <v>1124</v>
      </c>
      <c r="Q263" s="31">
        <f>200</f>
        <v>200</v>
      </c>
      <c r="R263" s="32" t="s">
        <v>883</v>
      </c>
      <c r="S263" s="33">
        <f>196.79</f>
        <v>196.79</v>
      </c>
      <c r="T263" s="30">
        <f>1675560</f>
        <v>1675560</v>
      </c>
      <c r="U263" s="30" t="str">
        <f>"－"</f>
        <v>－</v>
      </c>
      <c r="V263" s="30">
        <f>327826998</f>
        <v>327826998</v>
      </c>
      <c r="W263" s="30" t="str">
        <f>"－"</f>
        <v>－</v>
      </c>
      <c r="X263" s="34">
        <f>20</f>
        <v>20</v>
      </c>
    </row>
    <row r="264" spans="1:24">
      <c r="A264" s="25" t="s">
        <v>1237</v>
      </c>
      <c r="B264" s="25" t="s">
        <v>1203</v>
      </c>
      <c r="C264" s="25" t="s">
        <v>1204</v>
      </c>
      <c r="D264" s="25" t="s">
        <v>1205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2068</f>
        <v>2068</v>
      </c>
      <c r="L264" s="32" t="s">
        <v>1110</v>
      </c>
      <c r="M264" s="31">
        <f>2120</f>
        <v>2120</v>
      </c>
      <c r="N264" s="32" t="s">
        <v>1115</v>
      </c>
      <c r="O264" s="31">
        <f>2003</f>
        <v>2003</v>
      </c>
      <c r="P264" s="32" t="s">
        <v>883</v>
      </c>
      <c r="Q264" s="31">
        <f>2013</f>
        <v>2013</v>
      </c>
      <c r="R264" s="32" t="s">
        <v>883</v>
      </c>
      <c r="S264" s="33">
        <f>2052.05</f>
        <v>2052.0500000000002</v>
      </c>
      <c r="T264" s="30">
        <f>1390870</f>
        <v>1390870</v>
      </c>
      <c r="U264" s="30">
        <f>296616</f>
        <v>296616</v>
      </c>
      <c r="V264" s="30">
        <f>2845257609</f>
        <v>2845257609</v>
      </c>
      <c r="W264" s="30">
        <f>600460069</f>
        <v>600460069</v>
      </c>
      <c r="X264" s="34">
        <f>20</f>
        <v>20</v>
      </c>
    </row>
    <row r="265" spans="1:24">
      <c r="A265" s="25" t="s">
        <v>1237</v>
      </c>
      <c r="B265" s="25" t="s">
        <v>1207</v>
      </c>
      <c r="C265" s="25" t="s">
        <v>1208</v>
      </c>
      <c r="D265" s="25" t="s">
        <v>1209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1024</f>
        <v>1024</v>
      </c>
      <c r="L265" s="32" t="s">
        <v>1110</v>
      </c>
      <c r="M265" s="31">
        <f>1067</f>
        <v>1067</v>
      </c>
      <c r="N265" s="32" t="s">
        <v>1124</v>
      </c>
      <c r="O265" s="31">
        <f>993</f>
        <v>993</v>
      </c>
      <c r="P265" s="32" t="s">
        <v>1111</v>
      </c>
      <c r="Q265" s="31">
        <f>1003</f>
        <v>1003</v>
      </c>
      <c r="R265" s="32" t="s">
        <v>883</v>
      </c>
      <c r="S265" s="33">
        <f>1020.85</f>
        <v>1020.85</v>
      </c>
      <c r="T265" s="30">
        <f>1101305</f>
        <v>1101305</v>
      </c>
      <c r="U265" s="30">
        <f>930004</f>
        <v>930004</v>
      </c>
      <c r="V265" s="30">
        <f>1122053187</f>
        <v>1122053187</v>
      </c>
      <c r="W265" s="30">
        <f>947745679</f>
        <v>947745679</v>
      </c>
      <c r="X265" s="34">
        <f>20</f>
        <v>20</v>
      </c>
    </row>
    <row r="266" spans="1:24">
      <c r="A266" s="25" t="s">
        <v>1237</v>
      </c>
      <c r="B266" s="25" t="s">
        <v>1211</v>
      </c>
      <c r="C266" s="25" t="s">
        <v>1212</v>
      </c>
      <c r="D266" s="25" t="s">
        <v>1213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</v>
      </c>
      <c r="K266" s="31">
        <f>1007</f>
        <v>1007</v>
      </c>
      <c r="L266" s="32" t="s">
        <v>1110</v>
      </c>
      <c r="M266" s="31">
        <f>1040</f>
        <v>1040</v>
      </c>
      <c r="N266" s="32" t="s">
        <v>1113</v>
      </c>
      <c r="O266" s="31">
        <f>977</f>
        <v>977</v>
      </c>
      <c r="P266" s="32" t="s">
        <v>1114</v>
      </c>
      <c r="Q266" s="31">
        <f>984</f>
        <v>984</v>
      </c>
      <c r="R266" s="32" t="s">
        <v>883</v>
      </c>
      <c r="S266" s="33">
        <f>1006.15</f>
        <v>1006.15</v>
      </c>
      <c r="T266" s="30">
        <f>1005384</f>
        <v>1005384</v>
      </c>
      <c r="U266" s="30">
        <f>213830</f>
        <v>213830</v>
      </c>
      <c r="V266" s="30">
        <f>1005931421</f>
        <v>1005931421</v>
      </c>
      <c r="W266" s="30">
        <f>215791506</f>
        <v>215791506</v>
      </c>
      <c r="X266" s="34">
        <f>20</f>
        <v>20</v>
      </c>
    </row>
    <row r="267" spans="1:24">
      <c r="A267" s="25" t="s">
        <v>1237</v>
      </c>
      <c r="B267" s="25" t="s">
        <v>1214</v>
      </c>
      <c r="C267" s="25" t="s">
        <v>1215</v>
      </c>
      <c r="D267" s="25" t="s">
        <v>1216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499.4</f>
        <v>499.4</v>
      </c>
      <c r="L267" s="32" t="s">
        <v>1110</v>
      </c>
      <c r="M267" s="31">
        <f>520.8</f>
        <v>520.79999999999995</v>
      </c>
      <c r="N267" s="32" t="s">
        <v>674</v>
      </c>
      <c r="O267" s="31">
        <f>493.5</f>
        <v>493.5</v>
      </c>
      <c r="P267" s="32" t="s">
        <v>874</v>
      </c>
      <c r="Q267" s="31">
        <f>495.7</f>
        <v>495.7</v>
      </c>
      <c r="R267" s="32" t="s">
        <v>883</v>
      </c>
      <c r="S267" s="33">
        <f>497.39</f>
        <v>497.39</v>
      </c>
      <c r="T267" s="30">
        <f>235670</f>
        <v>235670</v>
      </c>
      <c r="U267" s="30">
        <f>151950</f>
        <v>151950</v>
      </c>
      <c r="V267" s="30">
        <f>117002927</f>
        <v>117002927</v>
      </c>
      <c r="W267" s="30">
        <f>75513406</f>
        <v>75513406</v>
      </c>
      <c r="X267" s="34">
        <f>20</f>
        <v>20</v>
      </c>
    </row>
    <row r="268" spans="1:24">
      <c r="A268" s="25" t="s">
        <v>1237</v>
      </c>
      <c r="B268" s="25" t="s">
        <v>1218</v>
      </c>
      <c r="C268" s="25" t="s">
        <v>1219</v>
      </c>
      <c r="D268" s="25" t="s">
        <v>1220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195.5</f>
        <v>195.5</v>
      </c>
      <c r="L268" s="32" t="s">
        <v>1110</v>
      </c>
      <c r="M268" s="31">
        <f>196.9</f>
        <v>196.9</v>
      </c>
      <c r="N268" s="32" t="s">
        <v>677</v>
      </c>
      <c r="O268" s="31">
        <f>188.3</f>
        <v>188.3</v>
      </c>
      <c r="P268" s="32" t="s">
        <v>678</v>
      </c>
      <c r="Q268" s="31">
        <f>194</f>
        <v>194</v>
      </c>
      <c r="R268" s="32" t="s">
        <v>883</v>
      </c>
      <c r="S268" s="33">
        <f>192.24</f>
        <v>192.24</v>
      </c>
      <c r="T268" s="30">
        <f>2667390</f>
        <v>2667390</v>
      </c>
      <c r="U268" s="30" t="str">
        <f>"－"</f>
        <v>－</v>
      </c>
      <c r="V268" s="30">
        <f>514135682</f>
        <v>514135682</v>
      </c>
      <c r="W268" s="30" t="str">
        <f>"－"</f>
        <v>－</v>
      </c>
      <c r="X268" s="34">
        <f>20</f>
        <v>20</v>
      </c>
    </row>
    <row r="269" spans="1:24">
      <c r="A269" s="25" t="s">
        <v>1237</v>
      </c>
      <c r="B269" s="25" t="s">
        <v>1221</v>
      </c>
      <c r="C269" s="25" t="s">
        <v>1222</v>
      </c>
      <c r="D269" s="25" t="s">
        <v>1223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181.9</f>
        <v>181.9</v>
      </c>
      <c r="L269" s="32" t="s">
        <v>1110</v>
      </c>
      <c r="M269" s="31">
        <f>182.4</f>
        <v>182.4</v>
      </c>
      <c r="N269" s="32" t="s">
        <v>1124</v>
      </c>
      <c r="O269" s="31">
        <f>171.1</f>
        <v>171.1</v>
      </c>
      <c r="P269" s="32" t="s">
        <v>1117</v>
      </c>
      <c r="Q269" s="31">
        <f>182</f>
        <v>182</v>
      </c>
      <c r="R269" s="32" t="s">
        <v>883</v>
      </c>
      <c r="S269" s="33">
        <f>176.54</f>
        <v>176.54</v>
      </c>
      <c r="T269" s="30">
        <f>2169840</f>
        <v>2169840</v>
      </c>
      <c r="U269" s="30">
        <f>1750</f>
        <v>1750</v>
      </c>
      <c r="V269" s="30">
        <f>380579208</f>
        <v>380579208</v>
      </c>
      <c r="W269" s="30">
        <f>293633</f>
        <v>293633</v>
      </c>
      <c r="X269" s="34">
        <f>20</f>
        <v>20</v>
      </c>
    </row>
    <row r="270" spans="1:24">
      <c r="A270" s="25" t="s">
        <v>1237</v>
      </c>
      <c r="B270" s="25" t="s">
        <v>539</v>
      </c>
      <c r="C270" s="25" t="s">
        <v>540</v>
      </c>
      <c r="D270" s="25" t="s">
        <v>541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908</f>
        <v>908</v>
      </c>
      <c r="L270" s="32" t="s">
        <v>1110</v>
      </c>
      <c r="M270" s="31">
        <f>914.9</f>
        <v>914.9</v>
      </c>
      <c r="N270" s="32" t="s">
        <v>674</v>
      </c>
      <c r="O270" s="31">
        <f>898.2</f>
        <v>898.2</v>
      </c>
      <c r="P270" s="32" t="s">
        <v>1117</v>
      </c>
      <c r="Q270" s="31">
        <f>902.9</f>
        <v>902.9</v>
      </c>
      <c r="R270" s="32" t="s">
        <v>883</v>
      </c>
      <c r="S270" s="33">
        <f>903.38</f>
        <v>903.38</v>
      </c>
      <c r="T270" s="30">
        <f>39532850</f>
        <v>39532850</v>
      </c>
      <c r="U270" s="30">
        <f>36896430</f>
        <v>36896430</v>
      </c>
      <c r="V270" s="30">
        <f>35788452726</f>
        <v>35788452726</v>
      </c>
      <c r="W270" s="30">
        <f>33400562046</f>
        <v>33400562046</v>
      </c>
      <c r="X270" s="34">
        <f>20</f>
        <v>20</v>
      </c>
    </row>
    <row r="271" spans="1:24">
      <c r="A271" s="25" t="s">
        <v>1237</v>
      </c>
      <c r="B271" s="25" t="s">
        <v>542</v>
      </c>
      <c r="C271" s="25" t="s">
        <v>543</v>
      </c>
      <c r="D271" s="25" t="s">
        <v>544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1097.5</f>
        <v>1097.5</v>
      </c>
      <c r="L271" s="32" t="s">
        <v>1110</v>
      </c>
      <c r="M271" s="31">
        <f>1115.5</f>
        <v>1115.5</v>
      </c>
      <c r="N271" s="32" t="s">
        <v>875</v>
      </c>
      <c r="O271" s="31">
        <f>1082</f>
        <v>1082</v>
      </c>
      <c r="P271" s="32" t="s">
        <v>883</v>
      </c>
      <c r="Q271" s="31">
        <f>1082.5</f>
        <v>1082.5</v>
      </c>
      <c r="R271" s="32" t="s">
        <v>883</v>
      </c>
      <c r="S271" s="33">
        <f>1102.23</f>
        <v>1102.23</v>
      </c>
      <c r="T271" s="30">
        <f>5774060</f>
        <v>5774060</v>
      </c>
      <c r="U271" s="30">
        <f>4429770</f>
        <v>4429770</v>
      </c>
      <c r="V271" s="30">
        <f>6360203272</f>
        <v>6360203272</v>
      </c>
      <c r="W271" s="30">
        <f>4880035012</f>
        <v>4880035012</v>
      </c>
      <c r="X271" s="34">
        <f>20</f>
        <v>20</v>
      </c>
    </row>
    <row r="272" spans="1:24">
      <c r="A272" s="25" t="s">
        <v>1237</v>
      </c>
      <c r="B272" s="25" t="s">
        <v>545</v>
      </c>
      <c r="C272" s="25" t="s">
        <v>546</v>
      </c>
      <c r="D272" s="25" t="s">
        <v>547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770.8</f>
        <v>770.8</v>
      </c>
      <c r="L272" s="32" t="s">
        <v>1110</v>
      </c>
      <c r="M272" s="31">
        <f>778.9</f>
        <v>778.9</v>
      </c>
      <c r="N272" s="32" t="s">
        <v>883</v>
      </c>
      <c r="O272" s="31">
        <f>765</f>
        <v>765</v>
      </c>
      <c r="P272" s="32" t="s">
        <v>1117</v>
      </c>
      <c r="Q272" s="31">
        <f>778.9</f>
        <v>778.9</v>
      </c>
      <c r="R272" s="32" t="s">
        <v>883</v>
      </c>
      <c r="S272" s="33">
        <f>771.47</f>
        <v>771.47</v>
      </c>
      <c r="T272" s="30">
        <f>40354230</f>
        <v>40354230</v>
      </c>
      <c r="U272" s="30">
        <f>40192770</f>
        <v>40192770</v>
      </c>
      <c r="V272" s="30">
        <f>31088442162</f>
        <v>31088442162</v>
      </c>
      <c r="W272" s="30">
        <f>30963924999</f>
        <v>30963924999</v>
      </c>
      <c r="X272" s="34">
        <f>20</f>
        <v>20</v>
      </c>
    </row>
    <row r="273" spans="1:24">
      <c r="A273" s="25" t="s">
        <v>1237</v>
      </c>
      <c r="B273" s="25" t="s">
        <v>548</v>
      </c>
      <c r="C273" s="25" t="s">
        <v>549</v>
      </c>
      <c r="D273" s="25" t="s">
        <v>550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2542</f>
        <v>2542</v>
      </c>
      <c r="L273" s="32" t="s">
        <v>1110</v>
      </c>
      <c r="M273" s="31">
        <f>2702</f>
        <v>2702</v>
      </c>
      <c r="N273" s="32" t="s">
        <v>1117</v>
      </c>
      <c r="O273" s="31">
        <f>2540</f>
        <v>2540</v>
      </c>
      <c r="P273" s="32" t="s">
        <v>1110</v>
      </c>
      <c r="Q273" s="31">
        <f>2619</f>
        <v>2619</v>
      </c>
      <c r="R273" s="32" t="s">
        <v>883</v>
      </c>
      <c r="S273" s="33">
        <f>2653.9</f>
        <v>2653.9</v>
      </c>
      <c r="T273" s="30">
        <f>1994060</f>
        <v>1994060</v>
      </c>
      <c r="U273" s="30">
        <f>1486760</f>
        <v>1486760</v>
      </c>
      <c r="V273" s="30">
        <f>5258887573</f>
        <v>5258887573</v>
      </c>
      <c r="W273" s="30">
        <f>3918797838</f>
        <v>3918797838</v>
      </c>
      <c r="X273" s="34">
        <f>20</f>
        <v>20</v>
      </c>
    </row>
    <row r="274" spans="1:24">
      <c r="A274" s="25" t="s">
        <v>1237</v>
      </c>
      <c r="B274" s="25" t="s">
        <v>551</v>
      </c>
      <c r="C274" s="25" t="s">
        <v>552</v>
      </c>
      <c r="D274" s="25" t="s">
        <v>553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1624.5</f>
        <v>1624.5</v>
      </c>
      <c r="L274" s="32" t="s">
        <v>1110</v>
      </c>
      <c r="M274" s="31">
        <f>1697</f>
        <v>1697</v>
      </c>
      <c r="N274" s="32" t="s">
        <v>1111</v>
      </c>
      <c r="O274" s="31">
        <f>1614.5</f>
        <v>1614.5</v>
      </c>
      <c r="P274" s="32" t="s">
        <v>1110</v>
      </c>
      <c r="Q274" s="31">
        <f>1689</f>
        <v>1689</v>
      </c>
      <c r="R274" s="32" t="s">
        <v>883</v>
      </c>
      <c r="S274" s="33">
        <f>1669.58</f>
        <v>1669.58</v>
      </c>
      <c r="T274" s="30">
        <f>1076270</f>
        <v>1076270</v>
      </c>
      <c r="U274" s="30">
        <f>941320</f>
        <v>941320</v>
      </c>
      <c r="V274" s="30">
        <f>1789339413</f>
        <v>1789339413</v>
      </c>
      <c r="W274" s="30">
        <f>1564833873</f>
        <v>1564833873</v>
      </c>
      <c r="X274" s="34">
        <f>20</f>
        <v>20</v>
      </c>
    </row>
    <row r="275" spans="1:24">
      <c r="A275" s="25" t="s">
        <v>1237</v>
      </c>
      <c r="B275" s="25" t="s">
        <v>554</v>
      </c>
      <c r="C275" s="25" t="s">
        <v>555</v>
      </c>
      <c r="D275" s="25" t="s">
        <v>556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1490</f>
        <v>1490</v>
      </c>
      <c r="L275" s="32" t="s">
        <v>1110</v>
      </c>
      <c r="M275" s="31">
        <f>1538</f>
        <v>1538</v>
      </c>
      <c r="N275" s="32" t="s">
        <v>676</v>
      </c>
      <c r="O275" s="31">
        <f>1480</f>
        <v>1480</v>
      </c>
      <c r="P275" s="32" t="s">
        <v>1110</v>
      </c>
      <c r="Q275" s="31">
        <f>1514</f>
        <v>1514</v>
      </c>
      <c r="R275" s="32" t="s">
        <v>883</v>
      </c>
      <c r="S275" s="33">
        <f>1513.23</f>
        <v>1513.23</v>
      </c>
      <c r="T275" s="30">
        <f>1161250</f>
        <v>1161250</v>
      </c>
      <c r="U275" s="30">
        <f>455580</f>
        <v>455580</v>
      </c>
      <c r="V275" s="30">
        <f>1753146870</f>
        <v>1753146870</v>
      </c>
      <c r="W275" s="30">
        <f>687808220</f>
        <v>687808220</v>
      </c>
      <c r="X275" s="34">
        <f>20</f>
        <v>20</v>
      </c>
    </row>
    <row r="276" spans="1:24">
      <c r="A276" s="25" t="s">
        <v>1237</v>
      </c>
      <c r="B276" s="25" t="s">
        <v>557</v>
      </c>
      <c r="C276" s="25" t="s">
        <v>1074</v>
      </c>
      <c r="D276" s="25" t="s">
        <v>1075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481.5</f>
        <v>481.5</v>
      </c>
      <c r="L276" s="32" t="s">
        <v>1110</v>
      </c>
      <c r="M276" s="31">
        <f>502</f>
        <v>502</v>
      </c>
      <c r="N276" s="32" t="s">
        <v>679</v>
      </c>
      <c r="O276" s="31">
        <f>473.9</f>
        <v>473.9</v>
      </c>
      <c r="P276" s="32" t="s">
        <v>674</v>
      </c>
      <c r="Q276" s="31">
        <f>500.5</f>
        <v>500.5</v>
      </c>
      <c r="R276" s="32" t="s">
        <v>883</v>
      </c>
      <c r="S276" s="33">
        <f>490.81</f>
        <v>490.81</v>
      </c>
      <c r="T276" s="30">
        <f>15696980</f>
        <v>15696980</v>
      </c>
      <c r="U276" s="30">
        <f>312570</f>
        <v>312570</v>
      </c>
      <c r="V276" s="30">
        <f>7705184817</f>
        <v>7705184817</v>
      </c>
      <c r="W276" s="30">
        <f>154314142</f>
        <v>154314142</v>
      </c>
      <c r="X276" s="34">
        <f>20</f>
        <v>20</v>
      </c>
    </row>
    <row r="277" spans="1:24">
      <c r="A277" s="25" t="s">
        <v>1237</v>
      </c>
      <c r="B277" s="25" t="s">
        <v>558</v>
      </c>
      <c r="C277" s="25" t="s">
        <v>559</v>
      </c>
      <c r="D277" s="25" t="s">
        <v>560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1016</f>
        <v>1016</v>
      </c>
      <c r="L277" s="32" t="s">
        <v>1110</v>
      </c>
      <c r="M277" s="31">
        <f>1025</f>
        <v>1025</v>
      </c>
      <c r="N277" s="32" t="s">
        <v>1124</v>
      </c>
      <c r="O277" s="31">
        <f>990</f>
        <v>990</v>
      </c>
      <c r="P277" s="32" t="s">
        <v>1117</v>
      </c>
      <c r="Q277" s="31">
        <f>1004.5</f>
        <v>1004.5</v>
      </c>
      <c r="R277" s="32" t="s">
        <v>883</v>
      </c>
      <c r="S277" s="33">
        <f>1005.43</f>
        <v>1005.43</v>
      </c>
      <c r="T277" s="30">
        <f>816170</f>
        <v>816170</v>
      </c>
      <c r="U277" s="30">
        <f>495330</f>
        <v>495330</v>
      </c>
      <c r="V277" s="30">
        <f>823046656</f>
        <v>823046656</v>
      </c>
      <c r="W277" s="30">
        <f>500035655</f>
        <v>500035655</v>
      </c>
      <c r="X277" s="34">
        <f>20</f>
        <v>20</v>
      </c>
    </row>
    <row r="278" spans="1:24">
      <c r="A278" s="25" t="s">
        <v>1237</v>
      </c>
      <c r="B278" s="25" t="s">
        <v>561</v>
      </c>
      <c r="C278" s="25" t="s">
        <v>562</v>
      </c>
      <c r="D278" s="25" t="s">
        <v>563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1532</f>
        <v>1532</v>
      </c>
      <c r="L278" s="32" t="s">
        <v>1110</v>
      </c>
      <c r="M278" s="31">
        <f>1634</f>
        <v>1634</v>
      </c>
      <c r="N278" s="32" t="s">
        <v>1123</v>
      </c>
      <c r="O278" s="31">
        <f>1530</f>
        <v>1530</v>
      </c>
      <c r="P278" s="32" t="s">
        <v>1114</v>
      </c>
      <c r="Q278" s="31">
        <f>1561</f>
        <v>1561</v>
      </c>
      <c r="R278" s="32" t="s">
        <v>883</v>
      </c>
      <c r="S278" s="33">
        <f>1568.15</f>
        <v>1568.15</v>
      </c>
      <c r="T278" s="30">
        <f>35151</f>
        <v>35151</v>
      </c>
      <c r="U278" s="30" t="str">
        <f>"－"</f>
        <v>－</v>
      </c>
      <c r="V278" s="30">
        <f>55439012</f>
        <v>55439012</v>
      </c>
      <c r="W278" s="30" t="str">
        <f>"－"</f>
        <v>－</v>
      </c>
      <c r="X278" s="34">
        <f>20</f>
        <v>20</v>
      </c>
    </row>
    <row r="279" spans="1:24">
      <c r="A279" s="25" t="s">
        <v>1237</v>
      </c>
      <c r="B279" s="25" t="s">
        <v>564</v>
      </c>
      <c r="C279" s="25" t="s">
        <v>565</v>
      </c>
      <c r="D279" s="25" t="s">
        <v>566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1087.5</f>
        <v>1087.5</v>
      </c>
      <c r="L279" s="32" t="s">
        <v>1110</v>
      </c>
      <c r="M279" s="31">
        <f>1105</f>
        <v>1105</v>
      </c>
      <c r="N279" s="32" t="s">
        <v>875</v>
      </c>
      <c r="O279" s="31">
        <f>1071</f>
        <v>1071</v>
      </c>
      <c r="P279" s="32" t="s">
        <v>1110</v>
      </c>
      <c r="Q279" s="31">
        <f>1075.5</f>
        <v>1075.5</v>
      </c>
      <c r="R279" s="32" t="s">
        <v>883</v>
      </c>
      <c r="S279" s="33">
        <f>1090.33</f>
        <v>1090.33</v>
      </c>
      <c r="T279" s="30">
        <f>136870</f>
        <v>136870</v>
      </c>
      <c r="U279" s="30">
        <f>94300</f>
        <v>94300</v>
      </c>
      <c r="V279" s="30">
        <f>148633181</f>
        <v>148633181</v>
      </c>
      <c r="W279" s="30">
        <f>102290536</f>
        <v>102290536</v>
      </c>
      <c r="X279" s="34">
        <f>20</f>
        <v>20</v>
      </c>
    </row>
    <row r="280" spans="1:24">
      <c r="A280" s="25" t="s">
        <v>1237</v>
      </c>
      <c r="B280" s="25" t="s">
        <v>567</v>
      </c>
      <c r="C280" s="25" t="s">
        <v>568</v>
      </c>
      <c r="D280" s="25" t="s">
        <v>569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1468.5</f>
        <v>1468.5</v>
      </c>
      <c r="L280" s="32" t="s">
        <v>1110</v>
      </c>
      <c r="M280" s="31">
        <f>1529.5</f>
        <v>1529.5</v>
      </c>
      <c r="N280" s="32" t="s">
        <v>1113</v>
      </c>
      <c r="O280" s="31">
        <f>1390</f>
        <v>1390</v>
      </c>
      <c r="P280" s="32" t="s">
        <v>883</v>
      </c>
      <c r="Q280" s="31">
        <f>1401.5</f>
        <v>1401.5</v>
      </c>
      <c r="R280" s="32" t="s">
        <v>883</v>
      </c>
      <c r="S280" s="33">
        <f>1463.68</f>
        <v>1463.68</v>
      </c>
      <c r="T280" s="30">
        <f>202110</f>
        <v>202110</v>
      </c>
      <c r="U280" s="30">
        <f>86780</f>
        <v>86780</v>
      </c>
      <c r="V280" s="30">
        <f>294689718</f>
        <v>294689718</v>
      </c>
      <c r="W280" s="30">
        <f>124017298</f>
        <v>124017298</v>
      </c>
      <c r="X280" s="34">
        <f>20</f>
        <v>20</v>
      </c>
    </row>
    <row r="281" spans="1:24">
      <c r="A281" s="25" t="s">
        <v>1237</v>
      </c>
      <c r="B281" s="25" t="s">
        <v>570</v>
      </c>
      <c r="C281" s="25" t="s">
        <v>571</v>
      </c>
      <c r="D281" s="25" t="s">
        <v>572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1736</f>
        <v>1736</v>
      </c>
      <c r="L281" s="32" t="s">
        <v>1110</v>
      </c>
      <c r="M281" s="31">
        <f>1830</f>
        <v>1830</v>
      </c>
      <c r="N281" s="32" t="s">
        <v>684</v>
      </c>
      <c r="O281" s="31">
        <f>1732.5</f>
        <v>1732.5</v>
      </c>
      <c r="P281" s="32" t="s">
        <v>1110</v>
      </c>
      <c r="Q281" s="31">
        <f>1823</f>
        <v>1823</v>
      </c>
      <c r="R281" s="32" t="s">
        <v>883</v>
      </c>
      <c r="S281" s="33">
        <f>1803.6</f>
        <v>1803.6</v>
      </c>
      <c r="T281" s="30">
        <f>9366690</f>
        <v>9366690</v>
      </c>
      <c r="U281" s="30">
        <f>6692060</f>
        <v>6692060</v>
      </c>
      <c r="V281" s="30">
        <f>16840602911</f>
        <v>16840602911</v>
      </c>
      <c r="W281" s="30">
        <f>12050349471</f>
        <v>12050349471</v>
      </c>
      <c r="X281" s="34">
        <f>20</f>
        <v>20</v>
      </c>
    </row>
    <row r="282" spans="1:24">
      <c r="A282" s="25" t="s">
        <v>1237</v>
      </c>
      <c r="B282" s="25" t="s">
        <v>573</v>
      </c>
      <c r="C282" s="25" t="s">
        <v>574</v>
      </c>
      <c r="D282" s="25" t="s">
        <v>575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5410</f>
        <v>5410</v>
      </c>
      <c r="L282" s="32" t="s">
        <v>1110</v>
      </c>
      <c r="M282" s="31">
        <f>5870</f>
        <v>5870</v>
      </c>
      <c r="N282" s="32" t="s">
        <v>679</v>
      </c>
      <c r="O282" s="31">
        <f>5330</f>
        <v>5330</v>
      </c>
      <c r="P282" s="32" t="s">
        <v>1110</v>
      </c>
      <c r="Q282" s="31">
        <f>5660</f>
        <v>5660</v>
      </c>
      <c r="R282" s="32" t="s">
        <v>883</v>
      </c>
      <c r="S282" s="33">
        <f>5659</f>
        <v>5659</v>
      </c>
      <c r="T282" s="30">
        <f>266379</f>
        <v>266379</v>
      </c>
      <c r="U282" s="30">
        <f>3</f>
        <v>3</v>
      </c>
      <c r="V282" s="30">
        <f>1497248120</f>
        <v>1497248120</v>
      </c>
      <c r="W282" s="30">
        <f>16760</f>
        <v>16760</v>
      </c>
      <c r="X282" s="34">
        <f>20</f>
        <v>20</v>
      </c>
    </row>
    <row r="283" spans="1:24">
      <c r="A283" s="25" t="s">
        <v>1237</v>
      </c>
      <c r="B283" s="25" t="s">
        <v>576</v>
      </c>
      <c r="C283" s="25" t="s">
        <v>577</v>
      </c>
      <c r="D283" s="25" t="s">
        <v>578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2155.5</f>
        <v>2155.5</v>
      </c>
      <c r="L283" s="32" t="s">
        <v>674</v>
      </c>
      <c r="M283" s="31">
        <f>2264</f>
        <v>2264</v>
      </c>
      <c r="N283" s="32" t="s">
        <v>1115</v>
      </c>
      <c r="O283" s="31">
        <f>2155.5</f>
        <v>2155.5</v>
      </c>
      <c r="P283" s="32" t="s">
        <v>674</v>
      </c>
      <c r="Q283" s="31">
        <f>2209</f>
        <v>2209</v>
      </c>
      <c r="R283" s="32" t="s">
        <v>676</v>
      </c>
      <c r="S283" s="33">
        <f>2204.42</f>
        <v>2204.42</v>
      </c>
      <c r="T283" s="30">
        <f>590</f>
        <v>590</v>
      </c>
      <c r="U283" s="30" t="str">
        <f>"－"</f>
        <v>－</v>
      </c>
      <c r="V283" s="30">
        <f>1298220</f>
        <v>1298220</v>
      </c>
      <c r="W283" s="30" t="str">
        <f>"－"</f>
        <v>－</v>
      </c>
      <c r="X283" s="34">
        <f>6</f>
        <v>6</v>
      </c>
    </row>
    <row r="284" spans="1:24">
      <c r="A284" s="25" t="s">
        <v>1237</v>
      </c>
      <c r="B284" s="25" t="s">
        <v>579</v>
      </c>
      <c r="C284" s="25" t="s">
        <v>580</v>
      </c>
      <c r="D284" s="25" t="s">
        <v>581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2722.5</f>
        <v>2722.5</v>
      </c>
      <c r="L284" s="32" t="s">
        <v>1110</v>
      </c>
      <c r="M284" s="31">
        <f>2867</f>
        <v>2867</v>
      </c>
      <c r="N284" s="32" t="s">
        <v>1124</v>
      </c>
      <c r="O284" s="31">
        <f>2717</f>
        <v>2717</v>
      </c>
      <c r="P284" s="32" t="s">
        <v>674</v>
      </c>
      <c r="Q284" s="31">
        <f>2753</f>
        <v>2753</v>
      </c>
      <c r="R284" s="32" t="s">
        <v>883</v>
      </c>
      <c r="S284" s="33">
        <f>2782.3</f>
        <v>2782.3</v>
      </c>
      <c r="T284" s="30">
        <f>365800</f>
        <v>365800</v>
      </c>
      <c r="U284" s="30">
        <f>54500</f>
        <v>54500</v>
      </c>
      <c r="V284" s="30">
        <f>1015873045</f>
        <v>1015873045</v>
      </c>
      <c r="W284" s="30">
        <f>151639800</f>
        <v>151639800</v>
      </c>
      <c r="X284" s="34">
        <f>20</f>
        <v>20</v>
      </c>
    </row>
    <row r="285" spans="1:24">
      <c r="A285" s="25" t="s">
        <v>1237</v>
      </c>
      <c r="B285" s="25" t="s">
        <v>582</v>
      </c>
      <c r="C285" s="25" t="s">
        <v>583</v>
      </c>
      <c r="D285" s="25" t="s">
        <v>584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38560</f>
        <v>38560</v>
      </c>
      <c r="L285" s="32" t="s">
        <v>1110</v>
      </c>
      <c r="M285" s="31">
        <f>40200</f>
        <v>40200</v>
      </c>
      <c r="N285" s="32" t="s">
        <v>1113</v>
      </c>
      <c r="O285" s="31">
        <f>38270</f>
        <v>38270</v>
      </c>
      <c r="P285" s="32" t="s">
        <v>1110</v>
      </c>
      <c r="Q285" s="31">
        <f>38480</f>
        <v>38480</v>
      </c>
      <c r="R285" s="32" t="s">
        <v>883</v>
      </c>
      <c r="S285" s="33">
        <f>38986</f>
        <v>38986</v>
      </c>
      <c r="T285" s="30">
        <f>64680</f>
        <v>64680</v>
      </c>
      <c r="U285" s="30">
        <f>706</f>
        <v>706</v>
      </c>
      <c r="V285" s="30">
        <f>2516757950</f>
        <v>2516757950</v>
      </c>
      <c r="W285" s="30">
        <f>27058350</f>
        <v>27058350</v>
      </c>
      <c r="X285" s="34">
        <f>20</f>
        <v>20</v>
      </c>
    </row>
    <row r="286" spans="1:24">
      <c r="A286" s="25" t="s">
        <v>1237</v>
      </c>
      <c r="B286" s="25" t="s">
        <v>585</v>
      </c>
      <c r="C286" s="25" t="s">
        <v>586</v>
      </c>
      <c r="D286" s="25" t="s">
        <v>587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24655</f>
        <v>24655</v>
      </c>
      <c r="L286" s="32" t="s">
        <v>1110</v>
      </c>
      <c r="M286" s="31">
        <f>25745</f>
        <v>25745</v>
      </c>
      <c r="N286" s="32" t="s">
        <v>677</v>
      </c>
      <c r="O286" s="31">
        <f>24645</f>
        <v>24645</v>
      </c>
      <c r="P286" s="32" t="s">
        <v>1110</v>
      </c>
      <c r="Q286" s="31">
        <f>24730</f>
        <v>24730</v>
      </c>
      <c r="R286" s="32" t="s">
        <v>1114</v>
      </c>
      <c r="S286" s="33">
        <f>25203.75</f>
        <v>25203.75</v>
      </c>
      <c r="T286" s="30">
        <f>10856</f>
        <v>10856</v>
      </c>
      <c r="U286" s="30" t="str">
        <f>"－"</f>
        <v>－</v>
      </c>
      <c r="V286" s="30">
        <f>273196515</f>
        <v>273196515</v>
      </c>
      <c r="W286" s="30" t="str">
        <f>"－"</f>
        <v>－</v>
      </c>
      <c r="X286" s="34">
        <f>12</f>
        <v>12</v>
      </c>
    </row>
    <row r="287" spans="1:24">
      <c r="A287" s="25" t="s">
        <v>1237</v>
      </c>
      <c r="B287" s="25" t="s">
        <v>588</v>
      </c>
      <c r="C287" s="25" t="s">
        <v>589</v>
      </c>
      <c r="D287" s="25" t="s">
        <v>590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1028</f>
        <v>1028</v>
      </c>
      <c r="L287" s="32" t="s">
        <v>1110</v>
      </c>
      <c r="M287" s="31">
        <f>1031.5</f>
        <v>1031.5</v>
      </c>
      <c r="N287" s="32" t="s">
        <v>1110</v>
      </c>
      <c r="O287" s="31">
        <f>1013.5</f>
        <v>1013.5</v>
      </c>
      <c r="P287" s="32" t="s">
        <v>875</v>
      </c>
      <c r="Q287" s="31">
        <f>1020</f>
        <v>1020</v>
      </c>
      <c r="R287" s="32" t="s">
        <v>883</v>
      </c>
      <c r="S287" s="33">
        <f>1023.43</f>
        <v>1023.43</v>
      </c>
      <c r="T287" s="30">
        <f>72690</f>
        <v>72690</v>
      </c>
      <c r="U287" s="30" t="str">
        <f>"－"</f>
        <v>－</v>
      </c>
      <c r="V287" s="30">
        <f>74416235</f>
        <v>74416235</v>
      </c>
      <c r="W287" s="30" t="str">
        <f>"－"</f>
        <v>－</v>
      </c>
      <c r="X287" s="34">
        <f>20</f>
        <v>20</v>
      </c>
    </row>
    <row r="288" spans="1:24">
      <c r="A288" s="25" t="s">
        <v>1237</v>
      </c>
      <c r="B288" s="25" t="s">
        <v>591</v>
      </c>
      <c r="C288" s="25" t="s">
        <v>946</v>
      </c>
      <c r="D288" s="25" t="s">
        <v>947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1012</f>
        <v>1012</v>
      </c>
      <c r="L288" s="32" t="s">
        <v>1110</v>
      </c>
      <c r="M288" s="31">
        <f>1018</f>
        <v>1018</v>
      </c>
      <c r="N288" s="32" t="s">
        <v>679</v>
      </c>
      <c r="O288" s="31">
        <f>994</f>
        <v>994</v>
      </c>
      <c r="P288" s="32" t="s">
        <v>1117</v>
      </c>
      <c r="Q288" s="31">
        <f>1009</f>
        <v>1009</v>
      </c>
      <c r="R288" s="32" t="s">
        <v>883</v>
      </c>
      <c r="S288" s="33">
        <f>1007.2</f>
        <v>1007.2</v>
      </c>
      <c r="T288" s="30">
        <f>506111</f>
        <v>506111</v>
      </c>
      <c r="U288" s="30">
        <f>500002</f>
        <v>500002</v>
      </c>
      <c r="V288" s="30">
        <f>504368413</f>
        <v>504368413</v>
      </c>
      <c r="W288" s="30">
        <f>498201802</f>
        <v>498201802</v>
      </c>
      <c r="X288" s="34">
        <f>20</f>
        <v>20</v>
      </c>
    </row>
    <row r="289" spans="1:24">
      <c r="A289" s="25" t="s">
        <v>1237</v>
      </c>
      <c r="B289" s="25" t="s">
        <v>592</v>
      </c>
      <c r="C289" s="25" t="s">
        <v>593</v>
      </c>
      <c r="D289" s="25" t="s">
        <v>594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1683</f>
        <v>1683</v>
      </c>
      <c r="L289" s="32" t="s">
        <v>1110</v>
      </c>
      <c r="M289" s="31">
        <f>1710</f>
        <v>1710</v>
      </c>
      <c r="N289" s="32" t="s">
        <v>1113</v>
      </c>
      <c r="O289" s="31">
        <f>1631</f>
        <v>1631</v>
      </c>
      <c r="P289" s="32" t="s">
        <v>1111</v>
      </c>
      <c r="Q289" s="31">
        <f>1641</f>
        <v>1641</v>
      </c>
      <c r="R289" s="32" t="s">
        <v>883</v>
      </c>
      <c r="S289" s="33">
        <f>1664.25</f>
        <v>1664.25</v>
      </c>
      <c r="T289" s="30">
        <f>130787</f>
        <v>130787</v>
      </c>
      <c r="U289" s="30">
        <f>18076</f>
        <v>18076</v>
      </c>
      <c r="V289" s="30">
        <f>218047812</f>
        <v>218047812</v>
      </c>
      <c r="W289" s="30">
        <f>30131558</f>
        <v>30131558</v>
      </c>
      <c r="X289" s="34">
        <f>20</f>
        <v>20</v>
      </c>
    </row>
    <row r="290" spans="1:24">
      <c r="A290" s="25" t="s">
        <v>1237</v>
      </c>
      <c r="B290" s="25" t="s">
        <v>595</v>
      </c>
      <c r="C290" s="25" t="s">
        <v>596</v>
      </c>
      <c r="D290" s="25" t="s">
        <v>597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14890</f>
        <v>14890</v>
      </c>
      <c r="L290" s="32" t="s">
        <v>1110</v>
      </c>
      <c r="M290" s="31">
        <f>16190</f>
        <v>16190</v>
      </c>
      <c r="N290" s="32" t="s">
        <v>1113</v>
      </c>
      <c r="O290" s="31">
        <f>13985</f>
        <v>13985</v>
      </c>
      <c r="P290" s="32" t="s">
        <v>1111</v>
      </c>
      <c r="Q290" s="31">
        <f>14340</f>
        <v>14340</v>
      </c>
      <c r="R290" s="32" t="s">
        <v>883</v>
      </c>
      <c r="S290" s="33">
        <f>14974</f>
        <v>14974</v>
      </c>
      <c r="T290" s="30">
        <f>30988</f>
        <v>30988</v>
      </c>
      <c r="U290" s="30" t="str">
        <f>"－"</f>
        <v>－</v>
      </c>
      <c r="V290" s="30">
        <f>464296275</f>
        <v>464296275</v>
      </c>
      <c r="W290" s="30" t="str">
        <f>"－"</f>
        <v>－</v>
      </c>
      <c r="X290" s="34">
        <f>20</f>
        <v>20</v>
      </c>
    </row>
    <row r="291" spans="1:24">
      <c r="A291" s="25" t="s">
        <v>1237</v>
      </c>
      <c r="B291" s="25" t="s">
        <v>598</v>
      </c>
      <c r="C291" s="25" t="s">
        <v>599</v>
      </c>
      <c r="D291" s="25" t="s">
        <v>600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1813</f>
        <v>1813</v>
      </c>
      <c r="L291" s="32" t="s">
        <v>1110</v>
      </c>
      <c r="M291" s="31">
        <f>1823</f>
        <v>1823</v>
      </c>
      <c r="N291" s="32" t="s">
        <v>679</v>
      </c>
      <c r="O291" s="31">
        <f>1776</f>
        <v>1776</v>
      </c>
      <c r="P291" s="32" t="s">
        <v>1117</v>
      </c>
      <c r="Q291" s="31">
        <f>1801</f>
        <v>1801</v>
      </c>
      <c r="R291" s="32" t="s">
        <v>883</v>
      </c>
      <c r="S291" s="33">
        <f>1802.45</f>
        <v>1802.45</v>
      </c>
      <c r="T291" s="30">
        <f>56870</f>
        <v>56870</v>
      </c>
      <c r="U291" s="30">
        <f>8000</f>
        <v>8000</v>
      </c>
      <c r="V291" s="30">
        <f>102502626</f>
        <v>102502626</v>
      </c>
      <c r="W291" s="30">
        <f>14421600</f>
        <v>14421600</v>
      </c>
      <c r="X291" s="34">
        <f>20</f>
        <v>20</v>
      </c>
    </row>
    <row r="292" spans="1:24">
      <c r="A292" s="25" t="s">
        <v>1237</v>
      </c>
      <c r="B292" s="25" t="s">
        <v>601</v>
      </c>
      <c r="C292" s="25" t="s">
        <v>602</v>
      </c>
      <c r="D292" s="25" t="s">
        <v>603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10</v>
      </c>
      <c r="K292" s="31">
        <f>1702</f>
        <v>1702</v>
      </c>
      <c r="L292" s="32" t="s">
        <v>1110</v>
      </c>
      <c r="M292" s="31">
        <f>1861</f>
        <v>1861</v>
      </c>
      <c r="N292" s="32" t="s">
        <v>1113</v>
      </c>
      <c r="O292" s="31">
        <f>1600</f>
        <v>1600</v>
      </c>
      <c r="P292" s="32" t="s">
        <v>1111</v>
      </c>
      <c r="Q292" s="31">
        <f>1654.5</f>
        <v>1654.5</v>
      </c>
      <c r="R292" s="32" t="s">
        <v>883</v>
      </c>
      <c r="S292" s="33">
        <f>1723.1</f>
        <v>1723.1</v>
      </c>
      <c r="T292" s="30">
        <f>431150</f>
        <v>431150</v>
      </c>
      <c r="U292" s="30" t="str">
        <f>"－"</f>
        <v>－</v>
      </c>
      <c r="V292" s="30">
        <f>751949175</f>
        <v>751949175</v>
      </c>
      <c r="W292" s="30" t="str">
        <f>"－"</f>
        <v>－</v>
      </c>
      <c r="X292" s="34">
        <f>20</f>
        <v>20</v>
      </c>
    </row>
    <row r="293" spans="1:24">
      <c r="A293" s="25" t="s">
        <v>1237</v>
      </c>
      <c r="B293" s="25" t="s">
        <v>604</v>
      </c>
      <c r="C293" s="25" t="s">
        <v>685</v>
      </c>
      <c r="D293" s="25" t="s">
        <v>686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792</f>
        <v>792</v>
      </c>
      <c r="L293" s="32" t="s">
        <v>1110</v>
      </c>
      <c r="M293" s="31">
        <f>804.8</f>
        <v>804.8</v>
      </c>
      <c r="N293" s="32" t="s">
        <v>674</v>
      </c>
      <c r="O293" s="31">
        <f>789.6</f>
        <v>789.6</v>
      </c>
      <c r="P293" s="32" t="s">
        <v>875</v>
      </c>
      <c r="Q293" s="31">
        <f>796.5</f>
        <v>796.5</v>
      </c>
      <c r="R293" s="32" t="s">
        <v>883</v>
      </c>
      <c r="S293" s="33">
        <f>794.08</f>
        <v>794.08</v>
      </c>
      <c r="T293" s="30">
        <f>1202830</f>
        <v>1202830</v>
      </c>
      <c r="U293" s="30">
        <f>1050240</f>
        <v>1050240</v>
      </c>
      <c r="V293" s="30">
        <f>954498911</f>
        <v>954498911</v>
      </c>
      <c r="W293" s="30">
        <f>833492584</f>
        <v>833492584</v>
      </c>
      <c r="X293" s="34">
        <f>20</f>
        <v>20</v>
      </c>
    </row>
    <row r="294" spans="1:24">
      <c r="A294" s="25" t="s">
        <v>1237</v>
      </c>
      <c r="B294" s="25" t="s">
        <v>605</v>
      </c>
      <c r="C294" s="25" t="s">
        <v>606</v>
      </c>
      <c r="D294" s="25" t="s">
        <v>607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1734</f>
        <v>1734</v>
      </c>
      <c r="L294" s="32" t="s">
        <v>1110</v>
      </c>
      <c r="M294" s="31">
        <f>1749.5</f>
        <v>1749.5</v>
      </c>
      <c r="N294" s="32" t="s">
        <v>679</v>
      </c>
      <c r="O294" s="31">
        <f>1700</f>
        <v>1700</v>
      </c>
      <c r="P294" s="32" t="s">
        <v>1117</v>
      </c>
      <c r="Q294" s="31">
        <f>1721</f>
        <v>1721</v>
      </c>
      <c r="R294" s="32" t="s">
        <v>883</v>
      </c>
      <c r="S294" s="33">
        <f>1724</f>
        <v>1724</v>
      </c>
      <c r="T294" s="30">
        <f>719650</f>
        <v>719650</v>
      </c>
      <c r="U294" s="30">
        <f>564510</f>
        <v>564510</v>
      </c>
      <c r="V294" s="30">
        <f>1233872977</f>
        <v>1233872977</v>
      </c>
      <c r="W294" s="30">
        <f>965962007</f>
        <v>965962007</v>
      </c>
      <c r="X294" s="34">
        <f>20</f>
        <v>20</v>
      </c>
    </row>
    <row r="295" spans="1:24">
      <c r="A295" s="25" t="s">
        <v>1237</v>
      </c>
      <c r="B295" s="25" t="s">
        <v>608</v>
      </c>
      <c r="C295" s="25" t="s">
        <v>609</v>
      </c>
      <c r="D295" s="25" t="s">
        <v>610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1725</f>
        <v>1725</v>
      </c>
      <c r="L295" s="32" t="s">
        <v>1110</v>
      </c>
      <c r="M295" s="31">
        <f>1737</f>
        <v>1737</v>
      </c>
      <c r="N295" s="32" t="s">
        <v>679</v>
      </c>
      <c r="O295" s="31">
        <f>1694</f>
        <v>1694</v>
      </c>
      <c r="P295" s="32" t="s">
        <v>1117</v>
      </c>
      <c r="Q295" s="31">
        <f>1707.5</f>
        <v>1707.5</v>
      </c>
      <c r="R295" s="32" t="s">
        <v>883</v>
      </c>
      <c r="S295" s="33">
        <f>1717.93</f>
        <v>1717.93</v>
      </c>
      <c r="T295" s="30">
        <f>1163760</f>
        <v>1163760</v>
      </c>
      <c r="U295" s="30">
        <f>88480</f>
        <v>88480</v>
      </c>
      <c r="V295" s="30">
        <f>2002093198</f>
        <v>2002093198</v>
      </c>
      <c r="W295" s="30">
        <f>152168583</f>
        <v>152168583</v>
      </c>
      <c r="X295" s="34">
        <f>20</f>
        <v>20</v>
      </c>
    </row>
    <row r="296" spans="1:24">
      <c r="A296" s="25" t="s">
        <v>1237</v>
      </c>
      <c r="B296" s="25" t="s">
        <v>611</v>
      </c>
      <c r="C296" s="25" t="s">
        <v>612</v>
      </c>
      <c r="D296" s="25" t="s">
        <v>613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2677.5</f>
        <v>2677.5</v>
      </c>
      <c r="L296" s="32" t="s">
        <v>1110</v>
      </c>
      <c r="M296" s="31">
        <f>2795</f>
        <v>2795</v>
      </c>
      <c r="N296" s="32" t="s">
        <v>677</v>
      </c>
      <c r="O296" s="31">
        <f>2667.5</f>
        <v>2667.5</v>
      </c>
      <c r="P296" s="32" t="s">
        <v>1110</v>
      </c>
      <c r="Q296" s="31">
        <f>2710.5</f>
        <v>2710.5</v>
      </c>
      <c r="R296" s="32" t="s">
        <v>883</v>
      </c>
      <c r="S296" s="33">
        <f>2726.43</f>
        <v>2726.43</v>
      </c>
      <c r="T296" s="30">
        <f>124430</f>
        <v>124430</v>
      </c>
      <c r="U296" s="30" t="str">
        <f>"－"</f>
        <v>－</v>
      </c>
      <c r="V296" s="30">
        <f>339945240</f>
        <v>339945240</v>
      </c>
      <c r="W296" s="30" t="str">
        <f>"－"</f>
        <v>－</v>
      </c>
      <c r="X296" s="34">
        <f>20</f>
        <v>20</v>
      </c>
    </row>
    <row r="297" spans="1:24">
      <c r="A297" s="25" t="s">
        <v>1237</v>
      </c>
      <c r="B297" s="25" t="s">
        <v>614</v>
      </c>
      <c r="C297" s="25" t="s">
        <v>615</v>
      </c>
      <c r="D297" s="25" t="s">
        <v>616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25005</f>
        <v>25005</v>
      </c>
      <c r="L297" s="32" t="s">
        <v>1110</v>
      </c>
      <c r="M297" s="31">
        <f>26935</f>
        <v>26935</v>
      </c>
      <c r="N297" s="32" t="s">
        <v>1117</v>
      </c>
      <c r="O297" s="31">
        <f>24970</f>
        <v>24970</v>
      </c>
      <c r="P297" s="32" t="s">
        <v>1110</v>
      </c>
      <c r="Q297" s="31">
        <f>26035</f>
        <v>26035</v>
      </c>
      <c r="R297" s="32" t="s">
        <v>883</v>
      </c>
      <c r="S297" s="33">
        <f>26324.75</f>
        <v>26324.75</v>
      </c>
      <c r="T297" s="30">
        <f>1022406</f>
        <v>1022406</v>
      </c>
      <c r="U297" s="30">
        <f>61360</f>
        <v>61360</v>
      </c>
      <c r="V297" s="30">
        <f>26878896896</f>
        <v>26878896896</v>
      </c>
      <c r="W297" s="30">
        <f>1609205001</f>
        <v>1609205001</v>
      </c>
      <c r="X297" s="34">
        <f>20</f>
        <v>20</v>
      </c>
    </row>
    <row r="298" spans="1:24">
      <c r="A298" s="25" t="s">
        <v>1237</v>
      </c>
      <c r="B298" s="25" t="s">
        <v>617</v>
      </c>
      <c r="C298" s="25" t="s">
        <v>618</v>
      </c>
      <c r="D298" s="25" t="s">
        <v>619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20825</f>
        <v>20825</v>
      </c>
      <c r="L298" s="32" t="s">
        <v>1110</v>
      </c>
      <c r="M298" s="31">
        <f>21950</f>
        <v>21950</v>
      </c>
      <c r="N298" s="32" t="s">
        <v>1117</v>
      </c>
      <c r="O298" s="31">
        <f>20525</f>
        <v>20525</v>
      </c>
      <c r="P298" s="32" t="s">
        <v>678</v>
      </c>
      <c r="Q298" s="31">
        <f>21305</f>
        <v>21305</v>
      </c>
      <c r="R298" s="32" t="s">
        <v>883</v>
      </c>
      <c r="S298" s="33">
        <f>21620.75</f>
        <v>21620.75</v>
      </c>
      <c r="T298" s="30">
        <f>261542</f>
        <v>261542</v>
      </c>
      <c r="U298" s="30">
        <f>669</f>
        <v>669</v>
      </c>
      <c r="V298" s="30">
        <f>5649849311</f>
        <v>5649849311</v>
      </c>
      <c r="W298" s="30">
        <f>14426981</f>
        <v>14426981</v>
      </c>
      <c r="X298" s="34">
        <f>20</f>
        <v>20</v>
      </c>
    </row>
    <row r="299" spans="1:24">
      <c r="A299" s="25" t="s">
        <v>1237</v>
      </c>
      <c r="B299" s="25" t="s">
        <v>620</v>
      </c>
      <c r="C299" s="25" t="s">
        <v>621</v>
      </c>
      <c r="D299" s="25" t="s">
        <v>622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36880</f>
        <v>36880</v>
      </c>
      <c r="L299" s="32" t="s">
        <v>1110</v>
      </c>
      <c r="M299" s="31">
        <f>36880</f>
        <v>36880</v>
      </c>
      <c r="N299" s="32" t="s">
        <v>1110</v>
      </c>
      <c r="O299" s="31">
        <f>35760</f>
        <v>35760</v>
      </c>
      <c r="P299" s="32" t="s">
        <v>678</v>
      </c>
      <c r="Q299" s="31">
        <f>36180</f>
        <v>36180</v>
      </c>
      <c r="R299" s="32" t="s">
        <v>679</v>
      </c>
      <c r="S299" s="33">
        <f>36240</f>
        <v>36240</v>
      </c>
      <c r="T299" s="30">
        <f>14</f>
        <v>14</v>
      </c>
      <c r="U299" s="30" t="str">
        <f>"－"</f>
        <v>－</v>
      </c>
      <c r="V299" s="30">
        <f>504560</f>
        <v>504560</v>
      </c>
      <c r="W299" s="30" t="str">
        <f>"－"</f>
        <v>－</v>
      </c>
      <c r="X299" s="34">
        <f>6</f>
        <v>6</v>
      </c>
    </row>
    <row r="300" spans="1:24">
      <c r="A300" s="25" t="s">
        <v>1237</v>
      </c>
      <c r="B300" s="25" t="s">
        <v>623</v>
      </c>
      <c r="C300" s="25" t="s">
        <v>624</v>
      </c>
      <c r="D300" s="25" t="s">
        <v>625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2347</f>
        <v>2347</v>
      </c>
      <c r="L300" s="32" t="s">
        <v>1110</v>
      </c>
      <c r="M300" s="31">
        <f>2370</f>
        <v>2370</v>
      </c>
      <c r="N300" s="32" t="s">
        <v>674</v>
      </c>
      <c r="O300" s="31">
        <f>2322</f>
        <v>2322</v>
      </c>
      <c r="P300" s="32" t="s">
        <v>875</v>
      </c>
      <c r="Q300" s="31">
        <f>2335</f>
        <v>2335</v>
      </c>
      <c r="R300" s="32" t="s">
        <v>883</v>
      </c>
      <c r="S300" s="33">
        <f>2336.3</f>
        <v>2336.3000000000002</v>
      </c>
      <c r="T300" s="30">
        <f>1579885</f>
        <v>1579885</v>
      </c>
      <c r="U300" s="30">
        <f>979384</f>
        <v>979384</v>
      </c>
      <c r="V300" s="30">
        <f>3683134857</f>
        <v>3683134857</v>
      </c>
      <c r="W300" s="30">
        <f>2276781711</f>
        <v>2276781711</v>
      </c>
      <c r="X300" s="34">
        <f>20</f>
        <v>20</v>
      </c>
    </row>
    <row r="301" spans="1:24">
      <c r="A301" s="25" t="s">
        <v>1237</v>
      </c>
      <c r="B301" s="25" t="s">
        <v>626</v>
      </c>
      <c r="C301" s="25" t="s">
        <v>627</v>
      </c>
      <c r="D301" s="25" t="s">
        <v>628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3122</f>
        <v>3122</v>
      </c>
      <c r="L301" s="32" t="s">
        <v>1110</v>
      </c>
      <c r="M301" s="31">
        <f>3350</f>
        <v>3350</v>
      </c>
      <c r="N301" s="32" t="s">
        <v>1111</v>
      </c>
      <c r="O301" s="31">
        <f>3118</f>
        <v>3118</v>
      </c>
      <c r="P301" s="32" t="s">
        <v>1110</v>
      </c>
      <c r="Q301" s="31">
        <f>3340</f>
        <v>3340</v>
      </c>
      <c r="R301" s="32" t="s">
        <v>883</v>
      </c>
      <c r="S301" s="33">
        <f>3267.45</f>
        <v>3267.45</v>
      </c>
      <c r="T301" s="30">
        <f>3953590</f>
        <v>3953590</v>
      </c>
      <c r="U301" s="30">
        <f>2870840</f>
        <v>2870840</v>
      </c>
      <c r="V301" s="30">
        <f>12863462109</f>
        <v>12863462109</v>
      </c>
      <c r="W301" s="30">
        <f>9349057049</f>
        <v>9349057049</v>
      </c>
      <c r="X301" s="34">
        <f>20</f>
        <v>20</v>
      </c>
    </row>
    <row r="302" spans="1:24">
      <c r="A302" s="25" t="s">
        <v>1237</v>
      </c>
      <c r="B302" s="25" t="s">
        <v>629</v>
      </c>
      <c r="C302" s="25" t="s">
        <v>630</v>
      </c>
      <c r="D302" s="25" t="s">
        <v>631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323.3</f>
        <v>323.3</v>
      </c>
      <c r="L302" s="32" t="s">
        <v>1110</v>
      </c>
      <c r="M302" s="31">
        <f>340.9</f>
        <v>340.9</v>
      </c>
      <c r="N302" s="32" t="s">
        <v>1111</v>
      </c>
      <c r="O302" s="31">
        <f>322.7</f>
        <v>322.7</v>
      </c>
      <c r="P302" s="32" t="s">
        <v>1110</v>
      </c>
      <c r="Q302" s="31">
        <f>340</f>
        <v>340</v>
      </c>
      <c r="R302" s="32" t="s">
        <v>883</v>
      </c>
      <c r="S302" s="33">
        <f>336.06</f>
        <v>336.06</v>
      </c>
      <c r="T302" s="30">
        <f>54199610</f>
        <v>54199610</v>
      </c>
      <c r="U302" s="30">
        <f>18756740</f>
        <v>18756740</v>
      </c>
      <c r="V302" s="30">
        <f>18215813405</f>
        <v>18215813405</v>
      </c>
      <c r="W302" s="30">
        <f>6312150085</f>
        <v>6312150085</v>
      </c>
      <c r="X302" s="34">
        <f>20</f>
        <v>20</v>
      </c>
    </row>
    <row r="303" spans="1:24">
      <c r="A303" s="25" t="s">
        <v>1237</v>
      </c>
      <c r="B303" s="25" t="s">
        <v>632</v>
      </c>
      <c r="C303" s="25" t="s">
        <v>633</v>
      </c>
      <c r="D303" s="25" t="s">
        <v>634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2680</f>
        <v>2680</v>
      </c>
      <c r="L303" s="32" t="s">
        <v>1110</v>
      </c>
      <c r="M303" s="31">
        <f>2728</f>
        <v>2728</v>
      </c>
      <c r="N303" s="32" t="s">
        <v>1115</v>
      </c>
      <c r="O303" s="31">
        <f>2646</f>
        <v>2646</v>
      </c>
      <c r="P303" s="32" t="s">
        <v>1111</v>
      </c>
      <c r="Q303" s="31">
        <f>2672</f>
        <v>2672</v>
      </c>
      <c r="R303" s="32" t="s">
        <v>883</v>
      </c>
      <c r="S303" s="33">
        <f>2687.2</f>
        <v>2687.2</v>
      </c>
      <c r="T303" s="30">
        <f>648719</f>
        <v>648719</v>
      </c>
      <c r="U303" s="30">
        <f>346029</f>
        <v>346029</v>
      </c>
      <c r="V303" s="30">
        <f>1744134809</f>
        <v>1744134809</v>
      </c>
      <c r="W303" s="30">
        <f>928709573</f>
        <v>928709573</v>
      </c>
      <c r="X303" s="34">
        <f>20</f>
        <v>20</v>
      </c>
    </row>
    <row r="304" spans="1:24">
      <c r="A304" s="25" t="s">
        <v>1237</v>
      </c>
      <c r="B304" s="25" t="s">
        <v>635</v>
      </c>
      <c r="C304" s="25" t="s">
        <v>636</v>
      </c>
      <c r="D304" s="25" t="s">
        <v>637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848</f>
        <v>848</v>
      </c>
      <c r="L304" s="32" t="s">
        <v>1110</v>
      </c>
      <c r="M304" s="31">
        <f>851</f>
        <v>851</v>
      </c>
      <c r="N304" s="32" t="s">
        <v>1110</v>
      </c>
      <c r="O304" s="31">
        <f>826</f>
        <v>826</v>
      </c>
      <c r="P304" s="32" t="s">
        <v>1117</v>
      </c>
      <c r="Q304" s="31">
        <f>835</f>
        <v>835</v>
      </c>
      <c r="R304" s="32" t="s">
        <v>883</v>
      </c>
      <c r="S304" s="33">
        <f>840.15</f>
        <v>840.15</v>
      </c>
      <c r="T304" s="30">
        <f>1298993</f>
        <v>1298993</v>
      </c>
      <c r="U304" s="30">
        <f>1166460</f>
        <v>1166460</v>
      </c>
      <c r="V304" s="30">
        <f>1086439932</f>
        <v>1086439932</v>
      </c>
      <c r="W304" s="30">
        <f>974767165</f>
        <v>974767165</v>
      </c>
      <c r="X304" s="34">
        <f>20</f>
        <v>20</v>
      </c>
    </row>
    <row r="305" spans="1:24">
      <c r="A305" s="25" t="s">
        <v>1237</v>
      </c>
      <c r="B305" s="25" t="s">
        <v>638</v>
      </c>
      <c r="C305" s="25" t="s">
        <v>639</v>
      </c>
      <c r="D305" s="25" t="s">
        <v>640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10</v>
      </c>
      <c r="K305" s="31">
        <f>953.8</f>
        <v>953.8</v>
      </c>
      <c r="L305" s="32" t="s">
        <v>1110</v>
      </c>
      <c r="M305" s="31">
        <f>954.2</f>
        <v>954.2</v>
      </c>
      <c r="N305" s="32" t="s">
        <v>679</v>
      </c>
      <c r="O305" s="31">
        <f>931.9</f>
        <v>931.9</v>
      </c>
      <c r="P305" s="32" t="s">
        <v>1117</v>
      </c>
      <c r="Q305" s="31">
        <f>940.8</f>
        <v>940.8</v>
      </c>
      <c r="R305" s="32" t="s">
        <v>883</v>
      </c>
      <c r="S305" s="33">
        <f>944.06</f>
        <v>944.06</v>
      </c>
      <c r="T305" s="30">
        <f>161520</f>
        <v>161520</v>
      </c>
      <c r="U305" s="30">
        <f>120</f>
        <v>120</v>
      </c>
      <c r="V305" s="30">
        <f>153426116</f>
        <v>153426116</v>
      </c>
      <c r="W305" s="30">
        <f>113648</f>
        <v>113648</v>
      </c>
      <c r="X305" s="34">
        <f>20</f>
        <v>20</v>
      </c>
    </row>
    <row r="306" spans="1:24">
      <c r="A306" s="25" t="s">
        <v>1237</v>
      </c>
      <c r="B306" s="25" t="s">
        <v>641</v>
      </c>
      <c r="C306" s="25" t="s">
        <v>642</v>
      </c>
      <c r="D306" s="25" t="s">
        <v>643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10</v>
      </c>
      <c r="K306" s="31">
        <f>349.9</f>
        <v>349.9</v>
      </c>
      <c r="L306" s="32" t="s">
        <v>674</v>
      </c>
      <c r="M306" s="31">
        <f>365</f>
        <v>365</v>
      </c>
      <c r="N306" s="32" t="s">
        <v>1115</v>
      </c>
      <c r="O306" s="31">
        <f>341.9</f>
        <v>341.9</v>
      </c>
      <c r="P306" s="32" t="s">
        <v>674</v>
      </c>
      <c r="Q306" s="31">
        <f>349.2</f>
        <v>349.2</v>
      </c>
      <c r="R306" s="32" t="s">
        <v>883</v>
      </c>
      <c r="S306" s="33">
        <f>358.24</f>
        <v>358.24</v>
      </c>
      <c r="T306" s="30">
        <f>3910</f>
        <v>3910</v>
      </c>
      <c r="U306" s="30" t="str">
        <f>"－"</f>
        <v>－</v>
      </c>
      <c r="V306" s="30">
        <f>1392983</f>
        <v>1392983</v>
      </c>
      <c r="W306" s="30" t="str">
        <f>"－"</f>
        <v>－</v>
      </c>
      <c r="X306" s="34">
        <f>16</f>
        <v>16</v>
      </c>
    </row>
    <row r="307" spans="1:24">
      <c r="A307" s="25" t="s">
        <v>1237</v>
      </c>
      <c r="B307" s="25" t="s">
        <v>644</v>
      </c>
      <c r="C307" s="25" t="s">
        <v>645</v>
      </c>
      <c r="D307" s="25" t="s">
        <v>646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10</v>
      </c>
      <c r="K307" s="31">
        <f>5207</f>
        <v>5207</v>
      </c>
      <c r="L307" s="32" t="s">
        <v>1110</v>
      </c>
      <c r="M307" s="31">
        <f>5642</f>
        <v>5642</v>
      </c>
      <c r="N307" s="32" t="s">
        <v>1117</v>
      </c>
      <c r="O307" s="31">
        <f>5203</f>
        <v>5203</v>
      </c>
      <c r="P307" s="32" t="s">
        <v>1110</v>
      </c>
      <c r="Q307" s="31">
        <f>5374</f>
        <v>5374</v>
      </c>
      <c r="R307" s="32" t="s">
        <v>883</v>
      </c>
      <c r="S307" s="33">
        <f>5488.15</f>
        <v>5488.15</v>
      </c>
      <c r="T307" s="30">
        <f>929640</f>
        <v>929640</v>
      </c>
      <c r="U307" s="30">
        <f>94500</f>
        <v>94500</v>
      </c>
      <c r="V307" s="30">
        <f>5104297950</f>
        <v>5104297950</v>
      </c>
      <c r="W307" s="30">
        <f>528670800</f>
        <v>528670800</v>
      </c>
      <c r="X307" s="34">
        <f>20</f>
        <v>20</v>
      </c>
    </row>
    <row r="308" spans="1:24">
      <c r="A308" s="25" t="s">
        <v>1237</v>
      </c>
      <c r="B308" s="25" t="s">
        <v>647</v>
      </c>
      <c r="C308" s="25" t="s">
        <v>648</v>
      </c>
      <c r="D308" s="25" t="s">
        <v>649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10</v>
      </c>
      <c r="K308" s="31">
        <f>3110</f>
        <v>3110</v>
      </c>
      <c r="L308" s="32" t="s">
        <v>1110</v>
      </c>
      <c r="M308" s="31">
        <f>3300</f>
        <v>3300</v>
      </c>
      <c r="N308" s="32" t="s">
        <v>684</v>
      </c>
      <c r="O308" s="31">
        <f>3101</f>
        <v>3101</v>
      </c>
      <c r="P308" s="32" t="s">
        <v>1110</v>
      </c>
      <c r="Q308" s="31">
        <f>3235</f>
        <v>3235</v>
      </c>
      <c r="R308" s="32" t="s">
        <v>883</v>
      </c>
      <c r="S308" s="33">
        <f>3231.6</f>
        <v>3231.6</v>
      </c>
      <c r="T308" s="30">
        <f>3891860</f>
        <v>3891860</v>
      </c>
      <c r="U308" s="30">
        <f>2219200</f>
        <v>2219200</v>
      </c>
      <c r="V308" s="30">
        <f>12549056521</f>
        <v>12549056521</v>
      </c>
      <c r="W308" s="30">
        <f>7173949901</f>
        <v>7173949901</v>
      </c>
      <c r="X308" s="34">
        <f>20</f>
        <v>20</v>
      </c>
    </row>
    <row r="309" spans="1:24">
      <c r="A309" s="25" t="s">
        <v>1237</v>
      </c>
      <c r="B309" s="25" t="s">
        <v>1225</v>
      </c>
      <c r="C309" s="25" t="s">
        <v>1226</v>
      </c>
      <c r="D309" s="25" t="s">
        <v>1227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2125</f>
        <v>2125</v>
      </c>
      <c r="L309" s="32" t="s">
        <v>1110</v>
      </c>
      <c r="M309" s="31">
        <f>2180</f>
        <v>2180</v>
      </c>
      <c r="N309" s="32" t="s">
        <v>674</v>
      </c>
      <c r="O309" s="31">
        <f>2037</f>
        <v>2037</v>
      </c>
      <c r="P309" s="32" t="s">
        <v>1114</v>
      </c>
      <c r="Q309" s="31">
        <f>2047</f>
        <v>2047</v>
      </c>
      <c r="R309" s="32" t="s">
        <v>883</v>
      </c>
      <c r="S309" s="33">
        <f>2090.55</f>
        <v>2090.5500000000002</v>
      </c>
      <c r="T309" s="30">
        <f>9292</f>
        <v>9292</v>
      </c>
      <c r="U309" s="30" t="str">
        <f>"－"</f>
        <v>－</v>
      </c>
      <c r="V309" s="30">
        <f>19142904</f>
        <v>19142904</v>
      </c>
      <c r="W309" s="30" t="str">
        <f>"－"</f>
        <v>－</v>
      </c>
      <c r="X309" s="34">
        <f>20</f>
        <v>20</v>
      </c>
    </row>
    <row r="310" spans="1:24">
      <c r="A310" s="25" t="s">
        <v>1237</v>
      </c>
      <c r="B310" s="25" t="s">
        <v>1229</v>
      </c>
      <c r="C310" s="25" t="s">
        <v>1230</v>
      </c>
      <c r="D310" s="25" t="s">
        <v>1231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1964</f>
        <v>1964</v>
      </c>
      <c r="L310" s="32" t="s">
        <v>1110</v>
      </c>
      <c r="M310" s="31">
        <f>1964</f>
        <v>1964</v>
      </c>
      <c r="N310" s="32" t="s">
        <v>1110</v>
      </c>
      <c r="O310" s="31">
        <f>1890</f>
        <v>1890</v>
      </c>
      <c r="P310" s="32" t="s">
        <v>1117</v>
      </c>
      <c r="Q310" s="31">
        <f>1910</f>
        <v>1910</v>
      </c>
      <c r="R310" s="32" t="s">
        <v>883</v>
      </c>
      <c r="S310" s="33">
        <f>1914.55</f>
        <v>1914.55</v>
      </c>
      <c r="T310" s="30">
        <f>71927</f>
        <v>71927</v>
      </c>
      <c r="U310" s="30" t="str">
        <f>"－"</f>
        <v>－</v>
      </c>
      <c r="V310" s="30">
        <f>138047782</f>
        <v>138047782</v>
      </c>
      <c r="W310" s="30" t="str">
        <f>"－"</f>
        <v>－</v>
      </c>
      <c r="X310" s="34">
        <f>20</f>
        <v>20</v>
      </c>
    </row>
    <row r="311" spans="1:24">
      <c r="A311" s="25" t="s">
        <v>1237</v>
      </c>
      <c r="B311" s="25" t="s">
        <v>650</v>
      </c>
      <c r="C311" s="25" t="s">
        <v>651</v>
      </c>
      <c r="D311" s="25" t="s">
        <v>652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347.3</f>
        <v>347.3</v>
      </c>
      <c r="L311" s="32" t="s">
        <v>1110</v>
      </c>
      <c r="M311" s="31">
        <f>357.9</f>
        <v>357.9</v>
      </c>
      <c r="N311" s="32" t="s">
        <v>875</v>
      </c>
      <c r="O311" s="31">
        <f>343.3</f>
        <v>343.3</v>
      </c>
      <c r="P311" s="32" t="s">
        <v>883</v>
      </c>
      <c r="Q311" s="31">
        <f>343.7</f>
        <v>343.7</v>
      </c>
      <c r="R311" s="32" t="s">
        <v>883</v>
      </c>
      <c r="S311" s="33">
        <f>351.63</f>
        <v>351.63</v>
      </c>
      <c r="T311" s="30">
        <f>13834650</f>
        <v>13834650</v>
      </c>
      <c r="U311" s="30">
        <f>2912720</f>
        <v>2912720</v>
      </c>
      <c r="V311" s="30">
        <f>4849525101</f>
        <v>4849525101</v>
      </c>
      <c r="W311" s="30">
        <f>1013936070</f>
        <v>1013936070</v>
      </c>
      <c r="X311" s="34">
        <f>20</f>
        <v>20</v>
      </c>
    </row>
    <row r="312" spans="1:24">
      <c r="A312" s="25" t="s">
        <v>1237</v>
      </c>
      <c r="B312" s="25" t="s">
        <v>653</v>
      </c>
      <c r="C312" s="25" t="s">
        <v>654</v>
      </c>
      <c r="D312" s="25" t="s">
        <v>655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1199</f>
        <v>1199</v>
      </c>
      <c r="L312" s="32" t="s">
        <v>1110</v>
      </c>
      <c r="M312" s="31">
        <f>1210</f>
        <v>1210</v>
      </c>
      <c r="N312" s="32" t="s">
        <v>1124</v>
      </c>
      <c r="O312" s="31">
        <f>1161</f>
        <v>1161</v>
      </c>
      <c r="P312" s="32" t="s">
        <v>1117</v>
      </c>
      <c r="Q312" s="31">
        <f>1208</f>
        <v>1208</v>
      </c>
      <c r="R312" s="32" t="s">
        <v>883</v>
      </c>
      <c r="S312" s="33">
        <f>1184.25</f>
        <v>1184.25</v>
      </c>
      <c r="T312" s="30">
        <f>27812232</f>
        <v>27812232</v>
      </c>
      <c r="U312" s="30">
        <f>83727</f>
        <v>83727</v>
      </c>
      <c r="V312" s="30">
        <f>32887092268</f>
        <v>32887092268</v>
      </c>
      <c r="W312" s="30">
        <f>98367738</f>
        <v>98367738</v>
      </c>
      <c r="X312" s="34">
        <f>20</f>
        <v>20</v>
      </c>
    </row>
    <row r="313" spans="1:24">
      <c r="A313" s="25" t="s">
        <v>1237</v>
      </c>
      <c r="B313" s="25" t="s">
        <v>656</v>
      </c>
      <c r="C313" s="25" t="s">
        <v>657</v>
      </c>
      <c r="D313" s="25" t="s">
        <v>658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1750</f>
        <v>1750</v>
      </c>
      <c r="L313" s="32" t="s">
        <v>1110</v>
      </c>
      <c r="M313" s="31">
        <f>1769</f>
        <v>1769</v>
      </c>
      <c r="N313" s="32" t="s">
        <v>684</v>
      </c>
      <c r="O313" s="31">
        <f>1726</f>
        <v>1726</v>
      </c>
      <c r="P313" s="32" t="s">
        <v>1124</v>
      </c>
      <c r="Q313" s="31">
        <f>1769</f>
        <v>1769</v>
      </c>
      <c r="R313" s="32" t="s">
        <v>883</v>
      </c>
      <c r="S313" s="33">
        <f>1750.55</f>
        <v>1750.55</v>
      </c>
      <c r="T313" s="30">
        <f>22074</f>
        <v>22074</v>
      </c>
      <c r="U313" s="30" t="str">
        <f>"－"</f>
        <v>－</v>
      </c>
      <c r="V313" s="30">
        <f>38543155</f>
        <v>38543155</v>
      </c>
      <c r="W313" s="30" t="str">
        <f>"－"</f>
        <v>－</v>
      </c>
      <c r="X313" s="34">
        <f>20</f>
        <v>20</v>
      </c>
    </row>
    <row r="314" spans="1:24">
      <c r="A314" s="25" t="s">
        <v>1237</v>
      </c>
      <c r="B314" s="25" t="s">
        <v>659</v>
      </c>
      <c r="C314" s="25" t="s">
        <v>660</v>
      </c>
      <c r="D314" s="25" t="s">
        <v>661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2072</f>
        <v>2072</v>
      </c>
      <c r="L314" s="32" t="s">
        <v>1110</v>
      </c>
      <c r="M314" s="31">
        <f>2100</f>
        <v>2100</v>
      </c>
      <c r="N314" s="32" t="s">
        <v>1117</v>
      </c>
      <c r="O314" s="31">
        <f>2000</f>
        <v>2000</v>
      </c>
      <c r="P314" s="32" t="s">
        <v>1117</v>
      </c>
      <c r="Q314" s="31">
        <f>2092</f>
        <v>2092</v>
      </c>
      <c r="R314" s="32" t="s">
        <v>883</v>
      </c>
      <c r="S314" s="33">
        <f>2081.7</f>
        <v>2081.6999999999998</v>
      </c>
      <c r="T314" s="30">
        <f>1189226</f>
        <v>1189226</v>
      </c>
      <c r="U314" s="30">
        <f>1175000</f>
        <v>1175000</v>
      </c>
      <c r="V314" s="30">
        <f>2470125313</f>
        <v>2470125313</v>
      </c>
      <c r="W314" s="30">
        <f>2440493500</f>
        <v>2440493500</v>
      </c>
      <c r="X314" s="34">
        <f>20</f>
        <v>20</v>
      </c>
    </row>
    <row r="315" spans="1:24">
      <c r="A315" s="25" t="s">
        <v>1237</v>
      </c>
      <c r="B315" s="25" t="s">
        <v>662</v>
      </c>
      <c r="C315" s="25" t="s">
        <v>663</v>
      </c>
      <c r="D315" s="25" t="s">
        <v>948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3830</f>
        <v>3830</v>
      </c>
      <c r="L315" s="32" t="s">
        <v>1110</v>
      </c>
      <c r="M315" s="31">
        <f>4000</f>
        <v>4000</v>
      </c>
      <c r="N315" s="32" t="s">
        <v>1115</v>
      </c>
      <c r="O315" s="31">
        <f>3795</f>
        <v>3795</v>
      </c>
      <c r="P315" s="32" t="s">
        <v>1114</v>
      </c>
      <c r="Q315" s="31">
        <f>3835</f>
        <v>3835</v>
      </c>
      <c r="R315" s="32" t="s">
        <v>883</v>
      </c>
      <c r="S315" s="33">
        <f>3880.5</f>
        <v>3880.5</v>
      </c>
      <c r="T315" s="30">
        <f>3011476</f>
        <v>3011476</v>
      </c>
      <c r="U315" s="30">
        <f>2834955</f>
        <v>2834955</v>
      </c>
      <c r="V315" s="30">
        <f>11731155779</f>
        <v>11731155779</v>
      </c>
      <c r="W315" s="30">
        <f>11048151259</f>
        <v>11048151259</v>
      </c>
      <c r="X315" s="34">
        <f>20</f>
        <v>20</v>
      </c>
    </row>
    <row r="316" spans="1:24">
      <c r="A316" s="25" t="s">
        <v>1237</v>
      </c>
      <c r="B316" s="25" t="s">
        <v>664</v>
      </c>
      <c r="C316" s="25" t="s">
        <v>665</v>
      </c>
      <c r="D316" s="25" t="s">
        <v>949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2680</f>
        <v>2680</v>
      </c>
      <c r="L316" s="32" t="s">
        <v>1110</v>
      </c>
      <c r="M316" s="31">
        <f>2776</f>
        <v>2776</v>
      </c>
      <c r="N316" s="32" t="s">
        <v>677</v>
      </c>
      <c r="O316" s="31">
        <f>2645</f>
        <v>2645</v>
      </c>
      <c r="P316" s="32" t="s">
        <v>1110</v>
      </c>
      <c r="Q316" s="31">
        <f>2683</f>
        <v>2683</v>
      </c>
      <c r="R316" s="32" t="s">
        <v>883</v>
      </c>
      <c r="S316" s="33">
        <f>2712.2</f>
        <v>2712.2</v>
      </c>
      <c r="T316" s="30">
        <f>3788070</f>
        <v>3788070</v>
      </c>
      <c r="U316" s="30">
        <f>3586486</f>
        <v>3586486</v>
      </c>
      <c r="V316" s="30">
        <f>10454405971</f>
        <v>10454405971</v>
      </c>
      <c r="W316" s="30">
        <f>9910986009</f>
        <v>9910986009</v>
      </c>
      <c r="X316" s="34">
        <f>20</f>
        <v>20</v>
      </c>
    </row>
    <row r="317" spans="1:24">
      <c r="A317" s="25" t="s">
        <v>1237</v>
      </c>
      <c r="B317" s="25" t="s">
        <v>666</v>
      </c>
      <c r="C317" s="25" t="s">
        <v>667</v>
      </c>
      <c r="D317" s="25" t="s">
        <v>668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2326</f>
        <v>2326</v>
      </c>
      <c r="L317" s="32" t="s">
        <v>1110</v>
      </c>
      <c r="M317" s="31">
        <f>2381</f>
        <v>2381</v>
      </c>
      <c r="N317" s="32" t="s">
        <v>677</v>
      </c>
      <c r="O317" s="31">
        <f>2274</f>
        <v>2274</v>
      </c>
      <c r="P317" s="32" t="s">
        <v>674</v>
      </c>
      <c r="Q317" s="31">
        <f>2340</f>
        <v>2340</v>
      </c>
      <c r="R317" s="32" t="s">
        <v>883</v>
      </c>
      <c r="S317" s="33">
        <f>2312.8</f>
        <v>2312.8000000000002</v>
      </c>
      <c r="T317" s="30">
        <f>27200</f>
        <v>27200</v>
      </c>
      <c r="U317" s="30" t="str">
        <f>"－"</f>
        <v>－</v>
      </c>
      <c r="V317" s="30">
        <f>62821336</f>
        <v>62821336</v>
      </c>
      <c r="W317" s="30" t="str">
        <f>"－"</f>
        <v>－</v>
      </c>
      <c r="X317" s="34">
        <f>20</f>
        <v>20</v>
      </c>
    </row>
    <row r="318" spans="1:24">
      <c r="A318" s="25" t="s">
        <v>1237</v>
      </c>
      <c r="B318" s="25" t="s">
        <v>669</v>
      </c>
      <c r="C318" s="25" t="s">
        <v>670</v>
      </c>
      <c r="D318" s="25" t="s">
        <v>671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1381</f>
        <v>1381</v>
      </c>
      <c r="L318" s="32" t="s">
        <v>1110</v>
      </c>
      <c r="M318" s="31">
        <f>1410</f>
        <v>1410</v>
      </c>
      <c r="N318" s="32" t="s">
        <v>677</v>
      </c>
      <c r="O318" s="31">
        <f>1303</f>
        <v>1303</v>
      </c>
      <c r="P318" s="32" t="s">
        <v>680</v>
      </c>
      <c r="Q318" s="31">
        <f>1374</f>
        <v>1374</v>
      </c>
      <c r="R318" s="32" t="s">
        <v>883</v>
      </c>
      <c r="S318" s="33">
        <f>1367.6</f>
        <v>1367.6</v>
      </c>
      <c r="T318" s="30">
        <f>44256</f>
        <v>44256</v>
      </c>
      <c r="U318" s="30" t="str">
        <f>"－"</f>
        <v>－</v>
      </c>
      <c r="V318" s="30">
        <f>61113184</f>
        <v>61113184</v>
      </c>
      <c r="W318" s="30" t="str">
        <f>"－"</f>
        <v>－</v>
      </c>
      <c r="X318" s="34">
        <f>20</f>
        <v>20</v>
      </c>
    </row>
    <row r="319" spans="1:24">
      <c r="A319" s="25" t="s">
        <v>1237</v>
      </c>
      <c r="B319" s="25" t="s">
        <v>687</v>
      </c>
      <c r="C319" s="25" t="s">
        <v>688</v>
      </c>
      <c r="D319" s="25" t="s">
        <v>689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2018</f>
        <v>2018</v>
      </c>
      <c r="L319" s="32" t="s">
        <v>1110</v>
      </c>
      <c r="M319" s="31">
        <f>2220</f>
        <v>2220</v>
      </c>
      <c r="N319" s="32" t="s">
        <v>677</v>
      </c>
      <c r="O319" s="31">
        <f>1935</f>
        <v>1935</v>
      </c>
      <c r="P319" s="32" t="s">
        <v>1111</v>
      </c>
      <c r="Q319" s="31">
        <f>2035</f>
        <v>2035</v>
      </c>
      <c r="R319" s="32" t="s">
        <v>883</v>
      </c>
      <c r="S319" s="33">
        <f>2076.9</f>
        <v>2076.9</v>
      </c>
      <c r="T319" s="30">
        <f>319358</f>
        <v>319358</v>
      </c>
      <c r="U319" s="30" t="str">
        <f>"－"</f>
        <v>－</v>
      </c>
      <c r="V319" s="30">
        <f>661688347</f>
        <v>661688347</v>
      </c>
      <c r="W319" s="30" t="str">
        <f>"－"</f>
        <v>－</v>
      </c>
      <c r="X319" s="34">
        <f>20</f>
        <v>20</v>
      </c>
    </row>
    <row r="320" spans="1:24">
      <c r="A320" s="25" t="s">
        <v>1237</v>
      </c>
      <c r="B320" s="25" t="s">
        <v>690</v>
      </c>
      <c r="C320" s="25" t="s">
        <v>691</v>
      </c>
      <c r="D320" s="25" t="s">
        <v>692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2855</f>
        <v>2855</v>
      </c>
      <c r="L320" s="32" t="s">
        <v>1110</v>
      </c>
      <c r="M320" s="31">
        <f>3080</f>
        <v>3080</v>
      </c>
      <c r="N320" s="32" t="s">
        <v>1113</v>
      </c>
      <c r="O320" s="31">
        <f>2699</f>
        <v>2699</v>
      </c>
      <c r="P320" s="32" t="s">
        <v>883</v>
      </c>
      <c r="Q320" s="31">
        <f>2727</f>
        <v>2727</v>
      </c>
      <c r="R320" s="32" t="s">
        <v>883</v>
      </c>
      <c r="S320" s="33">
        <f>2865.9</f>
        <v>2865.9</v>
      </c>
      <c r="T320" s="30">
        <f>51464</f>
        <v>51464</v>
      </c>
      <c r="U320" s="30" t="str">
        <f>"－"</f>
        <v>－</v>
      </c>
      <c r="V320" s="30">
        <f>150897287</f>
        <v>150897287</v>
      </c>
      <c r="W320" s="30" t="str">
        <f>"－"</f>
        <v>－</v>
      </c>
      <c r="X320" s="34">
        <f>20</f>
        <v>20</v>
      </c>
    </row>
    <row r="321" spans="1:24">
      <c r="A321" s="25" t="s">
        <v>1237</v>
      </c>
      <c r="B321" s="25" t="s">
        <v>693</v>
      </c>
      <c r="C321" s="25" t="s">
        <v>694</v>
      </c>
      <c r="D321" s="25" t="s">
        <v>695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12825</f>
        <v>12825</v>
      </c>
      <c r="L321" s="32" t="s">
        <v>1110</v>
      </c>
      <c r="M321" s="31">
        <f>13500</f>
        <v>13500</v>
      </c>
      <c r="N321" s="32" t="s">
        <v>1111</v>
      </c>
      <c r="O321" s="31">
        <f>12805</f>
        <v>12805</v>
      </c>
      <c r="P321" s="32" t="s">
        <v>1110</v>
      </c>
      <c r="Q321" s="31">
        <f>13460</f>
        <v>13460</v>
      </c>
      <c r="R321" s="32" t="s">
        <v>883</v>
      </c>
      <c r="S321" s="33">
        <f>13320.5</f>
        <v>13320.5</v>
      </c>
      <c r="T321" s="30">
        <f>440971</f>
        <v>440971</v>
      </c>
      <c r="U321" s="30">
        <f>256689</f>
        <v>256689</v>
      </c>
      <c r="V321" s="30">
        <f>5845391068</f>
        <v>5845391068</v>
      </c>
      <c r="W321" s="30">
        <f>3402841118</f>
        <v>3402841118</v>
      </c>
      <c r="X321" s="34">
        <f>20</f>
        <v>20</v>
      </c>
    </row>
    <row r="322" spans="1:24">
      <c r="A322" s="25" t="s">
        <v>1237</v>
      </c>
      <c r="B322" s="25" t="s">
        <v>696</v>
      </c>
      <c r="C322" s="25" t="s">
        <v>697</v>
      </c>
      <c r="D322" s="25" t="s">
        <v>698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21760</f>
        <v>21760</v>
      </c>
      <c r="L322" s="32" t="s">
        <v>1110</v>
      </c>
      <c r="M322" s="31">
        <f>23575</f>
        <v>23575</v>
      </c>
      <c r="N322" s="32" t="s">
        <v>1117</v>
      </c>
      <c r="O322" s="31">
        <f>21730</f>
        <v>21730</v>
      </c>
      <c r="P322" s="32" t="s">
        <v>1110</v>
      </c>
      <c r="Q322" s="31">
        <f>22465</f>
        <v>22465</v>
      </c>
      <c r="R322" s="32" t="s">
        <v>883</v>
      </c>
      <c r="S322" s="33">
        <f>22916</f>
        <v>22916</v>
      </c>
      <c r="T322" s="30">
        <f>445363</f>
        <v>445363</v>
      </c>
      <c r="U322" s="30">
        <f>9293</f>
        <v>9293</v>
      </c>
      <c r="V322" s="30">
        <f>10181311670</f>
        <v>10181311670</v>
      </c>
      <c r="W322" s="30">
        <f>211980070</f>
        <v>211980070</v>
      </c>
      <c r="X322" s="34">
        <f>20</f>
        <v>20</v>
      </c>
    </row>
    <row r="323" spans="1:24">
      <c r="A323" s="25" t="s">
        <v>1237</v>
      </c>
      <c r="B323" s="25" t="s">
        <v>699</v>
      </c>
      <c r="C323" s="25" t="s">
        <v>700</v>
      </c>
      <c r="D323" s="25" t="s">
        <v>701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13005</f>
        <v>13005</v>
      </c>
      <c r="L323" s="32" t="s">
        <v>1110</v>
      </c>
      <c r="M323" s="31">
        <f>13800</f>
        <v>13800</v>
      </c>
      <c r="N323" s="32" t="s">
        <v>684</v>
      </c>
      <c r="O323" s="31">
        <f>12970</f>
        <v>12970</v>
      </c>
      <c r="P323" s="32" t="s">
        <v>1110</v>
      </c>
      <c r="Q323" s="31">
        <f>13545</f>
        <v>13545</v>
      </c>
      <c r="R323" s="32" t="s">
        <v>883</v>
      </c>
      <c r="S323" s="33">
        <f>13515</f>
        <v>13515</v>
      </c>
      <c r="T323" s="30">
        <f>478772</f>
        <v>478772</v>
      </c>
      <c r="U323" s="30">
        <f>308396</f>
        <v>308396</v>
      </c>
      <c r="V323" s="30">
        <f>6440411710</f>
        <v>6440411710</v>
      </c>
      <c r="W323" s="30">
        <f>4148896735</f>
        <v>4148896735</v>
      </c>
      <c r="X323" s="34">
        <f>20</f>
        <v>20</v>
      </c>
    </row>
    <row r="324" spans="1:24">
      <c r="A324" s="25" t="s">
        <v>1237</v>
      </c>
      <c r="B324" s="25" t="s">
        <v>702</v>
      </c>
      <c r="C324" s="25" t="s">
        <v>703</v>
      </c>
      <c r="D324" s="25" t="s">
        <v>704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400.5</f>
        <v>400.5</v>
      </c>
      <c r="L324" s="32" t="s">
        <v>1110</v>
      </c>
      <c r="M324" s="31">
        <f>431.3</f>
        <v>431.3</v>
      </c>
      <c r="N324" s="32" t="s">
        <v>1117</v>
      </c>
      <c r="O324" s="31">
        <f>399.8</f>
        <v>399.8</v>
      </c>
      <c r="P324" s="32" t="s">
        <v>1110</v>
      </c>
      <c r="Q324" s="31">
        <f>416.4</f>
        <v>416.4</v>
      </c>
      <c r="R324" s="32" t="s">
        <v>883</v>
      </c>
      <c r="S324" s="33">
        <f>421.35</f>
        <v>421.35</v>
      </c>
      <c r="T324" s="30">
        <f>6557550</f>
        <v>6557550</v>
      </c>
      <c r="U324" s="30">
        <f>167260</f>
        <v>167260</v>
      </c>
      <c r="V324" s="30">
        <f>2744726673</f>
        <v>2744726673</v>
      </c>
      <c r="W324" s="30">
        <f>70207509</f>
        <v>70207509</v>
      </c>
      <c r="X324" s="34">
        <f>20</f>
        <v>20</v>
      </c>
    </row>
    <row r="325" spans="1:24">
      <c r="A325" s="25" t="s">
        <v>1237</v>
      </c>
      <c r="B325" s="25" t="s">
        <v>705</v>
      </c>
      <c r="C325" s="25" t="s">
        <v>706</v>
      </c>
      <c r="D325" s="25" t="s">
        <v>707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2519</f>
        <v>2519</v>
      </c>
      <c r="L325" s="32" t="s">
        <v>1110</v>
      </c>
      <c r="M325" s="31">
        <f>2673</f>
        <v>2673</v>
      </c>
      <c r="N325" s="32" t="s">
        <v>883</v>
      </c>
      <c r="O325" s="31">
        <f>2514</f>
        <v>2514</v>
      </c>
      <c r="P325" s="32" t="s">
        <v>1110</v>
      </c>
      <c r="Q325" s="31">
        <f>2673</f>
        <v>2673</v>
      </c>
      <c r="R325" s="32" t="s">
        <v>883</v>
      </c>
      <c r="S325" s="33">
        <f>2621.4</f>
        <v>2621.4</v>
      </c>
      <c r="T325" s="30">
        <f>1600040</f>
        <v>1600040</v>
      </c>
      <c r="U325" s="30">
        <f>855020</f>
        <v>855020</v>
      </c>
      <c r="V325" s="30">
        <f>4181105980</f>
        <v>4181105980</v>
      </c>
      <c r="W325" s="30">
        <f>2236036070</f>
        <v>2236036070</v>
      </c>
      <c r="X325" s="34">
        <f>20</f>
        <v>20</v>
      </c>
    </row>
    <row r="326" spans="1:24">
      <c r="A326" s="25" t="s">
        <v>1237</v>
      </c>
      <c r="B326" s="25" t="s">
        <v>708</v>
      </c>
      <c r="C326" s="25" t="s">
        <v>709</v>
      </c>
      <c r="D326" s="25" t="s">
        <v>710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4181</f>
        <v>4181</v>
      </c>
      <c r="L326" s="32" t="s">
        <v>1110</v>
      </c>
      <c r="M326" s="31">
        <f>4474</f>
        <v>4474</v>
      </c>
      <c r="N326" s="32" t="s">
        <v>676</v>
      </c>
      <c r="O326" s="31">
        <f>4129</f>
        <v>4129</v>
      </c>
      <c r="P326" s="32" t="s">
        <v>1110</v>
      </c>
      <c r="Q326" s="31">
        <f>4296</f>
        <v>4296</v>
      </c>
      <c r="R326" s="32" t="s">
        <v>883</v>
      </c>
      <c r="S326" s="33">
        <f>4349.05</f>
        <v>4349.05</v>
      </c>
      <c r="T326" s="30">
        <f>354020</f>
        <v>354020</v>
      </c>
      <c r="U326" s="30">
        <f>10</f>
        <v>10</v>
      </c>
      <c r="V326" s="30">
        <f>1502077260</f>
        <v>1502077260</v>
      </c>
      <c r="W326" s="30">
        <f>43800</f>
        <v>43800</v>
      </c>
      <c r="X326" s="34">
        <f>20</f>
        <v>20</v>
      </c>
    </row>
    <row r="327" spans="1:24">
      <c r="A327" s="25" t="s">
        <v>1237</v>
      </c>
      <c r="B327" s="25" t="s">
        <v>711</v>
      </c>
      <c r="C327" s="25" t="s">
        <v>712</v>
      </c>
      <c r="D327" s="25" t="s">
        <v>713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3235</f>
        <v>3235</v>
      </c>
      <c r="L327" s="32" t="s">
        <v>1110</v>
      </c>
      <c r="M327" s="31">
        <f>3420</f>
        <v>3420</v>
      </c>
      <c r="N327" s="32" t="s">
        <v>1113</v>
      </c>
      <c r="O327" s="31">
        <f>3235</f>
        <v>3235</v>
      </c>
      <c r="P327" s="32" t="s">
        <v>1110</v>
      </c>
      <c r="Q327" s="31">
        <f>3280</f>
        <v>3280</v>
      </c>
      <c r="R327" s="32" t="s">
        <v>883</v>
      </c>
      <c r="S327" s="33">
        <f>3299.75</f>
        <v>3299.75</v>
      </c>
      <c r="T327" s="30">
        <f>3196</f>
        <v>3196</v>
      </c>
      <c r="U327" s="30" t="str">
        <f>"－"</f>
        <v>－</v>
      </c>
      <c r="V327" s="30">
        <f>10635445</f>
        <v>10635445</v>
      </c>
      <c r="W327" s="30" t="str">
        <f>"－"</f>
        <v>－</v>
      </c>
      <c r="X327" s="34">
        <f>20</f>
        <v>20</v>
      </c>
    </row>
    <row r="328" spans="1:24">
      <c r="A328" s="25" t="s">
        <v>1237</v>
      </c>
      <c r="B328" s="25" t="s">
        <v>714</v>
      </c>
      <c r="C328" s="25" t="s">
        <v>1035</v>
      </c>
      <c r="D328" s="25" t="s">
        <v>1034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1498</f>
        <v>1498</v>
      </c>
      <c r="L328" s="32" t="s">
        <v>1110</v>
      </c>
      <c r="M328" s="31">
        <f>1579</f>
        <v>1579</v>
      </c>
      <c r="N328" s="32" t="s">
        <v>1113</v>
      </c>
      <c r="O328" s="31">
        <f>1445</f>
        <v>1445</v>
      </c>
      <c r="P328" s="32" t="s">
        <v>1114</v>
      </c>
      <c r="Q328" s="31">
        <f>1455</f>
        <v>1455</v>
      </c>
      <c r="R328" s="32" t="s">
        <v>883</v>
      </c>
      <c r="S328" s="33">
        <f>1498.6</f>
        <v>1498.6</v>
      </c>
      <c r="T328" s="30">
        <f>38955</f>
        <v>38955</v>
      </c>
      <c r="U328" s="30" t="str">
        <f>"－"</f>
        <v>－</v>
      </c>
      <c r="V328" s="30">
        <f>57939230</f>
        <v>57939230</v>
      </c>
      <c r="W328" s="30" t="str">
        <f>"－"</f>
        <v>－</v>
      </c>
      <c r="X328" s="34">
        <f>20</f>
        <v>20</v>
      </c>
    </row>
    <row r="329" spans="1:24">
      <c r="A329" s="25" t="s">
        <v>1237</v>
      </c>
      <c r="B329" s="25" t="s">
        <v>715</v>
      </c>
      <c r="C329" s="25" t="s">
        <v>716</v>
      </c>
      <c r="D329" s="25" t="s">
        <v>717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1994</f>
        <v>1994</v>
      </c>
      <c r="L329" s="32" t="s">
        <v>1110</v>
      </c>
      <c r="M329" s="31">
        <f>2071</f>
        <v>2071</v>
      </c>
      <c r="N329" s="32" t="s">
        <v>1115</v>
      </c>
      <c r="O329" s="31">
        <f>1923</f>
        <v>1923</v>
      </c>
      <c r="P329" s="32" t="s">
        <v>883</v>
      </c>
      <c r="Q329" s="31">
        <f>1937</f>
        <v>1937</v>
      </c>
      <c r="R329" s="32" t="s">
        <v>883</v>
      </c>
      <c r="S329" s="33">
        <f>1982.55</f>
        <v>1982.55</v>
      </c>
      <c r="T329" s="30">
        <f>130524</f>
        <v>130524</v>
      </c>
      <c r="U329" s="30" t="str">
        <f>"－"</f>
        <v>－</v>
      </c>
      <c r="V329" s="30">
        <f>257024532</f>
        <v>257024532</v>
      </c>
      <c r="W329" s="30" t="str">
        <f>"－"</f>
        <v>－</v>
      </c>
      <c r="X329" s="34">
        <f>20</f>
        <v>20</v>
      </c>
    </row>
    <row r="330" spans="1:24">
      <c r="A330" s="25" t="s">
        <v>1237</v>
      </c>
      <c r="B330" s="25" t="s">
        <v>718</v>
      </c>
      <c r="C330" s="25" t="s">
        <v>719</v>
      </c>
      <c r="D330" s="25" t="s">
        <v>720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1754</f>
        <v>1754</v>
      </c>
      <c r="L330" s="32" t="s">
        <v>1110</v>
      </c>
      <c r="M330" s="31">
        <f>1815</f>
        <v>1815</v>
      </c>
      <c r="N330" s="32" t="s">
        <v>1115</v>
      </c>
      <c r="O330" s="31">
        <f>1675</f>
        <v>1675</v>
      </c>
      <c r="P330" s="32" t="s">
        <v>1118</v>
      </c>
      <c r="Q330" s="31">
        <f>1721</f>
        <v>1721</v>
      </c>
      <c r="R330" s="32" t="s">
        <v>883</v>
      </c>
      <c r="S330" s="33">
        <f>1733.45</f>
        <v>1733.45</v>
      </c>
      <c r="T330" s="30">
        <f>12530</f>
        <v>12530</v>
      </c>
      <c r="U330" s="30" t="str">
        <f>"－"</f>
        <v>－</v>
      </c>
      <c r="V330" s="30">
        <f>21829158</f>
        <v>21829158</v>
      </c>
      <c r="W330" s="30" t="str">
        <f>"－"</f>
        <v>－</v>
      </c>
      <c r="X330" s="34">
        <f>20</f>
        <v>20</v>
      </c>
    </row>
    <row r="331" spans="1:24">
      <c r="A331" s="25" t="s">
        <v>1237</v>
      </c>
      <c r="B331" s="25" t="s">
        <v>721</v>
      </c>
      <c r="C331" s="25" t="s">
        <v>722</v>
      </c>
      <c r="D331" s="25" t="s">
        <v>723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3245</f>
        <v>3245</v>
      </c>
      <c r="L331" s="32" t="s">
        <v>1110</v>
      </c>
      <c r="M331" s="31">
        <f>3450</f>
        <v>3450</v>
      </c>
      <c r="N331" s="32" t="s">
        <v>883</v>
      </c>
      <c r="O331" s="31">
        <f>3170</f>
        <v>3170</v>
      </c>
      <c r="P331" s="32" t="s">
        <v>674</v>
      </c>
      <c r="Q331" s="31">
        <f>3385</f>
        <v>3385</v>
      </c>
      <c r="R331" s="32" t="s">
        <v>883</v>
      </c>
      <c r="S331" s="33">
        <f>3303.5</f>
        <v>3303.5</v>
      </c>
      <c r="T331" s="30">
        <f>56071</f>
        <v>56071</v>
      </c>
      <c r="U331" s="30">
        <f>100</f>
        <v>100</v>
      </c>
      <c r="V331" s="30">
        <f>185162680</f>
        <v>185162680</v>
      </c>
      <c r="W331" s="30">
        <f>330000</f>
        <v>330000</v>
      </c>
      <c r="X331" s="34">
        <f>20</f>
        <v>20</v>
      </c>
    </row>
    <row r="332" spans="1:24">
      <c r="A332" s="25" t="s">
        <v>1237</v>
      </c>
      <c r="B332" s="25" t="s">
        <v>724</v>
      </c>
      <c r="C332" s="25" t="s">
        <v>1033</v>
      </c>
      <c r="D332" s="25" t="s">
        <v>1032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3020</f>
        <v>3020</v>
      </c>
      <c r="L332" s="32" t="s">
        <v>1110</v>
      </c>
      <c r="M332" s="31">
        <f>3200</f>
        <v>3200</v>
      </c>
      <c r="N332" s="32" t="s">
        <v>677</v>
      </c>
      <c r="O332" s="31">
        <f>2998</f>
        <v>2998</v>
      </c>
      <c r="P332" s="32" t="s">
        <v>674</v>
      </c>
      <c r="Q332" s="31">
        <f>3105</f>
        <v>3105</v>
      </c>
      <c r="R332" s="32" t="s">
        <v>883</v>
      </c>
      <c r="S332" s="33">
        <f>3110.25</f>
        <v>3110.25</v>
      </c>
      <c r="T332" s="30">
        <f>938519</f>
        <v>938519</v>
      </c>
      <c r="U332" s="30">
        <f>394405</f>
        <v>394405</v>
      </c>
      <c r="V332" s="30">
        <f>2916882165</f>
        <v>2916882165</v>
      </c>
      <c r="W332" s="30">
        <f>1223849658</f>
        <v>1223849658</v>
      </c>
      <c r="X332" s="34">
        <f>20</f>
        <v>20</v>
      </c>
    </row>
    <row r="333" spans="1:24">
      <c r="A333" s="25" t="s">
        <v>1237</v>
      </c>
      <c r="B333" s="25" t="s">
        <v>725</v>
      </c>
      <c r="C333" s="25" t="s">
        <v>726</v>
      </c>
      <c r="D333" s="25" t="s">
        <v>727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35500</f>
        <v>35500</v>
      </c>
      <c r="L333" s="32" t="s">
        <v>1110</v>
      </c>
      <c r="M333" s="31">
        <f>36750</f>
        <v>36750</v>
      </c>
      <c r="N333" s="32" t="s">
        <v>1118</v>
      </c>
      <c r="O333" s="31">
        <f>35250</f>
        <v>35250</v>
      </c>
      <c r="P333" s="32" t="s">
        <v>1110</v>
      </c>
      <c r="Q333" s="31">
        <f>35690</f>
        <v>35690</v>
      </c>
      <c r="R333" s="32" t="s">
        <v>883</v>
      </c>
      <c r="S333" s="33">
        <f>35923.13</f>
        <v>35923.129999999997</v>
      </c>
      <c r="T333" s="30">
        <f>55</f>
        <v>55</v>
      </c>
      <c r="U333" s="30" t="str">
        <f>"－"</f>
        <v>－</v>
      </c>
      <c r="V333" s="30">
        <f>1966750</f>
        <v>1966750</v>
      </c>
      <c r="W333" s="30" t="str">
        <f>"－"</f>
        <v>－</v>
      </c>
      <c r="X333" s="34">
        <f>16</f>
        <v>16</v>
      </c>
    </row>
    <row r="334" spans="1:24">
      <c r="A334" s="25" t="s">
        <v>1237</v>
      </c>
      <c r="B334" s="25" t="s">
        <v>728</v>
      </c>
      <c r="C334" s="25" t="s">
        <v>729</v>
      </c>
      <c r="D334" s="25" t="s">
        <v>730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2838</f>
        <v>2838</v>
      </c>
      <c r="L334" s="32" t="s">
        <v>1110</v>
      </c>
      <c r="M334" s="31">
        <f>2939</f>
        <v>2939</v>
      </c>
      <c r="N334" s="32" t="s">
        <v>684</v>
      </c>
      <c r="O334" s="31">
        <f>2724</f>
        <v>2724</v>
      </c>
      <c r="P334" s="32" t="s">
        <v>674</v>
      </c>
      <c r="Q334" s="31">
        <f>2809</f>
        <v>2809</v>
      </c>
      <c r="R334" s="32" t="s">
        <v>883</v>
      </c>
      <c r="S334" s="33">
        <f>2835.85</f>
        <v>2835.85</v>
      </c>
      <c r="T334" s="30">
        <f>8077</f>
        <v>8077</v>
      </c>
      <c r="U334" s="30" t="str">
        <f>"－"</f>
        <v>－</v>
      </c>
      <c r="V334" s="30">
        <f>22831212</f>
        <v>22831212</v>
      </c>
      <c r="W334" s="30" t="str">
        <f>"－"</f>
        <v>－</v>
      </c>
      <c r="X334" s="34">
        <f>20</f>
        <v>20</v>
      </c>
    </row>
    <row r="335" spans="1:24">
      <c r="A335" s="25" t="s">
        <v>1237</v>
      </c>
      <c r="B335" s="25" t="s">
        <v>731</v>
      </c>
      <c r="C335" s="25" t="s">
        <v>732</v>
      </c>
      <c r="D335" s="25" t="s">
        <v>733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1844</f>
        <v>1844</v>
      </c>
      <c r="L335" s="32" t="s">
        <v>1110</v>
      </c>
      <c r="M335" s="31">
        <f>1960</f>
        <v>1960</v>
      </c>
      <c r="N335" s="32" t="s">
        <v>1115</v>
      </c>
      <c r="O335" s="31">
        <f>1669</f>
        <v>1669</v>
      </c>
      <c r="P335" s="32" t="s">
        <v>1114</v>
      </c>
      <c r="Q335" s="31">
        <f>1705</f>
        <v>1705</v>
      </c>
      <c r="R335" s="32" t="s">
        <v>883</v>
      </c>
      <c r="S335" s="33">
        <f>1796</f>
        <v>1796</v>
      </c>
      <c r="T335" s="30">
        <f>9885723</f>
        <v>9885723</v>
      </c>
      <c r="U335" s="30">
        <f>764857</f>
        <v>764857</v>
      </c>
      <c r="V335" s="30">
        <f>17848123952</f>
        <v>17848123952</v>
      </c>
      <c r="W335" s="30">
        <f>1394762973</f>
        <v>1394762973</v>
      </c>
      <c r="X335" s="34">
        <f>20</f>
        <v>20</v>
      </c>
    </row>
    <row r="336" spans="1:24">
      <c r="A336" s="25" t="s">
        <v>1237</v>
      </c>
      <c r="B336" s="25" t="s">
        <v>734</v>
      </c>
      <c r="C336" s="25" t="s">
        <v>735</v>
      </c>
      <c r="D336" s="25" t="s">
        <v>736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2293</f>
        <v>2293</v>
      </c>
      <c r="L336" s="32" t="s">
        <v>1110</v>
      </c>
      <c r="M336" s="31">
        <f>2394</f>
        <v>2394</v>
      </c>
      <c r="N336" s="32" t="s">
        <v>677</v>
      </c>
      <c r="O336" s="31">
        <f>2281</f>
        <v>2281</v>
      </c>
      <c r="P336" s="32" t="s">
        <v>678</v>
      </c>
      <c r="Q336" s="31">
        <f>2394</f>
        <v>2394</v>
      </c>
      <c r="R336" s="32" t="s">
        <v>883</v>
      </c>
      <c r="S336" s="33">
        <f>2347.65</f>
        <v>2347.65</v>
      </c>
      <c r="T336" s="30">
        <f>15811</f>
        <v>15811</v>
      </c>
      <c r="U336" s="30" t="str">
        <f>"－"</f>
        <v>－</v>
      </c>
      <c r="V336" s="30">
        <f>37246108</f>
        <v>37246108</v>
      </c>
      <c r="W336" s="30" t="str">
        <f>"－"</f>
        <v>－</v>
      </c>
      <c r="X336" s="34">
        <f>20</f>
        <v>20</v>
      </c>
    </row>
    <row r="337" spans="1:24">
      <c r="A337" s="25" t="s">
        <v>1237</v>
      </c>
      <c r="B337" s="25" t="s">
        <v>737</v>
      </c>
      <c r="C337" s="25" t="s">
        <v>738</v>
      </c>
      <c r="D337" s="25" t="s">
        <v>739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1649</f>
        <v>1649</v>
      </c>
      <c r="L337" s="32" t="s">
        <v>1110</v>
      </c>
      <c r="M337" s="31">
        <f>1718</f>
        <v>1718</v>
      </c>
      <c r="N337" s="32" t="s">
        <v>1115</v>
      </c>
      <c r="O337" s="31">
        <f>1564</f>
        <v>1564</v>
      </c>
      <c r="P337" s="32" t="s">
        <v>1114</v>
      </c>
      <c r="Q337" s="31">
        <f>1587</f>
        <v>1587</v>
      </c>
      <c r="R337" s="32" t="s">
        <v>883</v>
      </c>
      <c r="S337" s="33">
        <f>1634.2</f>
        <v>1634.2</v>
      </c>
      <c r="T337" s="30">
        <f>12247</f>
        <v>12247</v>
      </c>
      <c r="U337" s="30" t="str">
        <f>"－"</f>
        <v>－</v>
      </c>
      <c r="V337" s="30">
        <f>19902337</f>
        <v>19902337</v>
      </c>
      <c r="W337" s="30" t="str">
        <f>"－"</f>
        <v>－</v>
      </c>
      <c r="X337" s="34">
        <f>20</f>
        <v>20</v>
      </c>
    </row>
    <row r="338" spans="1:24">
      <c r="A338" s="25" t="s">
        <v>1237</v>
      </c>
      <c r="B338" s="25" t="s">
        <v>740</v>
      </c>
      <c r="C338" s="25" t="s">
        <v>741</v>
      </c>
      <c r="D338" s="25" t="s">
        <v>742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5658</f>
        <v>5658</v>
      </c>
      <c r="L338" s="32" t="s">
        <v>1110</v>
      </c>
      <c r="M338" s="31">
        <f>5765</f>
        <v>5765</v>
      </c>
      <c r="N338" s="32" t="s">
        <v>875</v>
      </c>
      <c r="O338" s="31">
        <f>5646</f>
        <v>5646</v>
      </c>
      <c r="P338" s="32" t="s">
        <v>1110</v>
      </c>
      <c r="Q338" s="31">
        <f>5650</f>
        <v>5650</v>
      </c>
      <c r="R338" s="32" t="s">
        <v>883</v>
      </c>
      <c r="S338" s="33">
        <f>5693.41</f>
        <v>5693.41</v>
      </c>
      <c r="T338" s="30">
        <f>2177600</f>
        <v>2177600</v>
      </c>
      <c r="U338" s="30">
        <f>2170000</f>
        <v>2170000</v>
      </c>
      <c r="V338" s="30">
        <f>12409787288</f>
        <v>12409787288</v>
      </c>
      <c r="W338" s="30">
        <f>12366711838</f>
        <v>12366711838</v>
      </c>
      <c r="X338" s="34">
        <f>17</f>
        <v>17</v>
      </c>
    </row>
    <row r="339" spans="1:24">
      <c r="A339" s="25" t="s">
        <v>1237</v>
      </c>
      <c r="B339" s="25" t="s">
        <v>743</v>
      </c>
      <c r="C339" s="25" t="s">
        <v>744</v>
      </c>
      <c r="D339" s="25" t="s">
        <v>745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3644</f>
        <v>3644</v>
      </c>
      <c r="L339" s="32" t="s">
        <v>1110</v>
      </c>
      <c r="M339" s="31">
        <f>3660</f>
        <v>3660</v>
      </c>
      <c r="N339" s="32" t="s">
        <v>1117</v>
      </c>
      <c r="O339" s="31">
        <f>3590</f>
        <v>3590</v>
      </c>
      <c r="P339" s="32" t="s">
        <v>1117</v>
      </c>
      <c r="Q339" s="31">
        <f>3657</f>
        <v>3657</v>
      </c>
      <c r="R339" s="32" t="s">
        <v>883</v>
      </c>
      <c r="S339" s="33">
        <f>3621.53</f>
        <v>3621.53</v>
      </c>
      <c r="T339" s="30">
        <f>1213140</f>
        <v>1213140</v>
      </c>
      <c r="U339" s="30">
        <f>504020</f>
        <v>504020</v>
      </c>
      <c r="V339" s="30">
        <f>4390657646</f>
        <v>4390657646</v>
      </c>
      <c r="W339" s="30">
        <f>1817016346</f>
        <v>1817016346</v>
      </c>
      <c r="X339" s="34">
        <f>19</f>
        <v>19</v>
      </c>
    </row>
    <row r="340" spans="1:24">
      <c r="A340" s="25" t="s">
        <v>1237</v>
      </c>
      <c r="B340" s="25" t="s">
        <v>746</v>
      </c>
      <c r="C340" s="25" t="s">
        <v>747</v>
      </c>
      <c r="D340" s="25" t="s">
        <v>748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10</v>
      </c>
      <c r="K340" s="31">
        <f>614.6</f>
        <v>614.6</v>
      </c>
      <c r="L340" s="32" t="s">
        <v>1110</v>
      </c>
      <c r="M340" s="31">
        <f>618.7</f>
        <v>618.70000000000005</v>
      </c>
      <c r="N340" s="32" t="s">
        <v>883</v>
      </c>
      <c r="O340" s="31">
        <f>610.9</f>
        <v>610.9</v>
      </c>
      <c r="P340" s="32" t="s">
        <v>678</v>
      </c>
      <c r="Q340" s="31">
        <f>618.5</f>
        <v>618.5</v>
      </c>
      <c r="R340" s="32" t="s">
        <v>883</v>
      </c>
      <c r="S340" s="33">
        <f>614.14</f>
        <v>614.14</v>
      </c>
      <c r="T340" s="30">
        <f>59100</f>
        <v>59100</v>
      </c>
      <c r="U340" s="30" t="str">
        <f>"－"</f>
        <v>－</v>
      </c>
      <c r="V340" s="30">
        <f>36223044</f>
        <v>36223044</v>
      </c>
      <c r="W340" s="30" t="str">
        <f>"－"</f>
        <v>－</v>
      </c>
      <c r="X340" s="34">
        <f>20</f>
        <v>20</v>
      </c>
    </row>
    <row r="341" spans="1:24">
      <c r="A341" s="25" t="s">
        <v>1237</v>
      </c>
      <c r="B341" s="25" t="s">
        <v>1236</v>
      </c>
      <c r="C341" s="25" t="s">
        <v>1235</v>
      </c>
      <c r="D341" s="25" t="s">
        <v>1234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</v>
      </c>
      <c r="K341" s="31">
        <f>13825</f>
        <v>13825</v>
      </c>
      <c r="L341" s="32" t="s">
        <v>1110</v>
      </c>
      <c r="M341" s="31">
        <f>14425</f>
        <v>14425</v>
      </c>
      <c r="N341" s="32" t="s">
        <v>674</v>
      </c>
      <c r="O341" s="31">
        <f>9418</f>
        <v>9418</v>
      </c>
      <c r="P341" s="32" t="s">
        <v>1114</v>
      </c>
      <c r="Q341" s="31">
        <f>9451</f>
        <v>9451</v>
      </c>
      <c r="R341" s="32" t="s">
        <v>883</v>
      </c>
      <c r="S341" s="33">
        <f>10182.55</f>
        <v>10182.549999999999</v>
      </c>
      <c r="T341" s="30">
        <f>50054</f>
        <v>50054</v>
      </c>
      <c r="U341" s="30">
        <f>12</f>
        <v>12</v>
      </c>
      <c r="V341" s="30">
        <f>535209394</f>
        <v>535209394</v>
      </c>
      <c r="W341" s="30">
        <f>130788</f>
        <v>130788</v>
      </c>
      <c r="X341" s="34">
        <f>20</f>
        <v>20</v>
      </c>
    </row>
    <row r="342" spans="1:24">
      <c r="A342" s="25" t="s">
        <v>1237</v>
      </c>
      <c r="B342" s="25" t="s">
        <v>1239</v>
      </c>
      <c r="C342" s="25" t="s">
        <v>1240</v>
      </c>
      <c r="D342" s="25" t="s">
        <v>1241</v>
      </c>
      <c r="E342" s="26" t="s">
        <v>672</v>
      </c>
      <c r="F342" s="27" t="s">
        <v>673</v>
      </c>
      <c r="G342" s="28" t="s">
        <v>1242</v>
      </c>
      <c r="H342" s="29"/>
      <c r="I342" s="29" t="s">
        <v>44</v>
      </c>
      <c r="J342" s="30">
        <v>1</v>
      </c>
      <c r="K342" s="31">
        <f>1017</f>
        <v>1017</v>
      </c>
      <c r="L342" s="32" t="s">
        <v>1112</v>
      </c>
      <c r="M342" s="31">
        <f>1030</f>
        <v>1030</v>
      </c>
      <c r="N342" s="32" t="s">
        <v>679</v>
      </c>
      <c r="O342" s="31">
        <f>950</f>
        <v>950</v>
      </c>
      <c r="P342" s="32" t="s">
        <v>1114</v>
      </c>
      <c r="Q342" s="31">
        <f>965</f>
        <v>965</v>
      </c>
      <c r="R342" s="32" t="s">
        <v>883</v>
      </c>
      <c r="S342" s="33">
        <f>990.86</f>
        <v>990.86</v>
      </c>
      <c r="T342" s="30">
        <f>682207</f>
        <v>682207</v>
      </c>
      <c r="U342" s="30">
        <f>100350</f>
        <v>100350</v>
      </c>
      <c r="V342" s="30">
        <f>674351855</f>
        <v>674351855</v>
      </c>
      <c r="W342" s="30">
        <f>97769491</f>
        <v>97769491</v>
      </c>
      <c r="X342" s="34">
        <f>7</f>
        <v>7</v>
      </c>
    </row>
    <row r="343" spans="1:24">
      <c r="A343" s="25" t="s">
        <v>1237</v>
      </c>
      <c r="B343" s="25" t="s">
        <v>749</v>
      </c>
      <c r="C343" s="25" t="s">
        <v>750</v>
      </c>
      <c r="D343" s="25" t="s">
        <v>751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2469</f>
        <v>2469</v>
      </c>
      <c r="L343" s="32" t="s">
        <v>1110</v>
      </c>
      <c r="M343" s="31">
        <f>2659</f>
        <v>2659</v>
      </c>
      <c r="N343" s="32" t="s">
        <v>883</v>
      </c>
      <c r="O343" s="31">
        <f>2444</f>
        <v>2444</v>
      </c>
      <c r="P343" s="32" t="s">
        <v>1110</v>
      </c>
      <c r="Q343" s="31">
        <f>2659</f>
        <v>2659</v>
      </c>
      <c r="R343" s="32" t="s">
        <v>883</v>
      </c>
      <c r="S343" s="33">
        <f>2563.7</f>
        <v>2563.6999999999998</v>
      </c>
      <c r="T343" s="30">
        <f>5175</f>
        <v>5175</v>
      </c>
      <c r="U343" s="30" t="str">
        <f>"－"</f>
        <v>－</v>
      </c>
      <c r="V343" s="30">
        <f>13330873</f>
        <v>13330873</v>
      </c>
      <c r="W343" s="30" t="str">
        <f>"－"</f>
        <v>－</v>
      </c>
      <c r="X343" s="34">
        <f>20</f>
        <v>20</v>
      </c>
    </row>
    <row r="344" spans="1:24">
      <c r="A344" s="25" t="s">
        <v>1237</v>
      </c>
      <c r="B344" s="25" t="s">
        <v>752</v>
      </c>
      <c r="C344" s="25" t="s">
        <v>1031</v>
      </c>
      <c r="D344" s="25" t="s">
        <v>1030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2244</f>
        <v>2244</v>
      </c>
      <c r="L344" s="32" t="s">
        <v>1110</v>
      </c>
      <c r="M344" s="31">
        <f>2350</f>
        <v>2350</v>
      </c>
      <c r="N344" s="32" t="s">
        <v>1113</v>
      </c>
      <c r="O344" s="31">
        <f>2156</f>
        <v>2156</v>
      </c>
      <c r="P344" s="32" t="s">
        <v>1118</v>
      </c>
      <c r="Q344" s="31">
        <f>2253</f>
        <v>2253</v>
      </c>
      <c r="R344" s="32" t="s">
        <v>883</v>
      </c>
      <c r="S344" s="33">
        <f>2247.85</f>
        <v>2247.85</v>
      </c>
      <c r="T344" s="30">
        <f>12996</f>
        <v>12996</v>
      </c>
      <c r="U344" s="30" t="str">
        <f>"－"</f>
        <v>－</v>
      </c>
      <c r="V344" s="30">
        <f>29102095</f>
        <v>29102095</v>
      </c>
      <c r="W344" s="30" t="str">
        <f>"－"</f>
        <v>－</v>
      </c>
      <c r="X344" s="34">
        <f>20</f>
        <v>20</v>
      </c>
    </row>
    <row r="345" spans="1:24">
      <c r="A345" s="25" t="s">
        <v>1237</v>
      </c>
      <c r="B345" s="25" t="s">
        <v>753</v>
      </c>
      <c r="C345" s="25" t="s">
        <v>754</v>
      </c>
      <c r="D345" s="25" t="s">
        <v>755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8468</f>
        <v>8468</v>
      </c>
      <c r="L345" s="32" t="s">
        <v>1110</v>
      </c>
      <c r="M345" s="31">
        <f>8616</f>
        <v>8616</v>
      </c>
      <c r="N345" s="32" t="s">
        <v>1117</v>
      </c>
      <c r="O345" s="31">
        <f>8350</f>
        <v>8350</v>
      </c>
      <c r="P345" s="32" t="s">
        <v>883</v>
      </c>
      <c r="Q345" s="31">
        <f>8350</f>
        <v>8350</v>
      </c>
      <c r="R345" s="32" t="s">
        <v>883</v>
      </c>
      <c r="S345" s="33">
        <f>8482.71</f>
        <v>8482.7099999999991</v>
      </c>
      <c r="T345" s="30">
        <f>853163</f>
        <v>853163</v>
      </c>
      <c r="U345" s="30">
        <f>851250</f>
        <v>851250</v>
      </c>
      <c r="V345" s="30">
        <f>7279235235</f>
        <v>7279235235</v>
      </c>
      <c r="W345" s="30">
        <f>7263036830</f>
        <v>7263036830</v>
      </c>
      <c r="X345" s="34">
        <f>17</f>
        <v>17</v>
      </c>
    </row>
    <row r="346" spans="1:24">
      <c r="A346" s="25" t="s">
        <v>1237</v>
      </c>
      <c r="B346" s="25" t="s">
        <v>756</v>
      </c>
      <c r="C346" s="25" t="s">
        <v>757</v>
      </c>
      <c r="D346" s="25" t="s">
        <v>758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5433</f>
        <v>5433</v>
      </c>
      <c r="L346" s="32" t="s">
        <v>1110</v>
      </c>
      <c r="M346" s="31">
        <f>5485</f>
        <v>5485</v>
      </c>
      <c r="N346" s="32" t="s">
        <v>677</v>
      </c>
      <c r="O346" s="31">
        <f>5330</f>
        <v>5330</v>
      </c>
      <c r="P346" s="32" t="s">
        <v>1117</v>
      </c>
      <c r="Q346" s="31">
        <f>5434</f>
        <v>5434</v>
      </c>
      <c r="R346" s="32" t="s">
        <v>883</v>
      </c>
      <c r="S346" s="33">
        <f>5381.1</f>
        <v>5381.1</v>
      </c>
      <c r="T346" s="30">
        <f>81152</f>
        <v>81152</v>
      </c>
      <c r="U346" s="30">
        <f>60000</f>
        <v>60000</v>
      </c>
      <c r="V346" s="30">
        <f>437432367</f>
        <v>437432367</v>
      </c>
      <c r="W346" s="30">
        <f>323458530</f>
        <v>323458530</v>
      </c>
      <c r="X346" s="34">
        <f>20</f>
        <v>20</v>
      </c>
    </row>
    <row r="347" spans="1:24">
      <c r="A347" s="25" t="s">
        <v>1237</v>
      </c>
      <c r="B347" s="25" t="s">
        <v>1243</v>
      </c>
      <c r="C347" s="25" t="s">
        <v>1244</v>
      </c>
      <c r="D347" s="25" t="s">
        <v>1245</v>
      </c>
      <c r="E347" s="26" t="s">
        <v>672</v>
      </c>
      <c r="F347" s="27" t="s">
        <v>673</v>
      </c>
      <c r="G347" s="28" t="s">
        <v>1242</v>
      </c>
      <c r="H347" s="29"/>
      <c r="I347" s="29" t="s">
        <v>44</v>
      </c>
      <c r="J347" s="30">
        <v>1</v>
      </c>
      <c r="K347" s="31">
        <f>1012</f>
        <v>1012</v>
      </c>
      <c r="L347" s="32" t="s">
        <v>1112</v>
      </c>
      <c r="M347" s="31">
        <f>1030</f>
        <v>1030</v>
      </c>
      <c r="N347" s="32" t="s">
        <v>676</v>
      </c>
      <c r="O347" s="31">
        <f>991</f>
        <v>991</v>
      </c>
      <c r="P347" s="32" t="s">
        <v>883</v>
      </c>
      <c r="Q347" s="31">
        <f>995</f>
        <v>995</v>
      </c>
      <c r="R347" s="32" t="s">
        <v>883</v>
      </c>
      <c r="S347" s="33">
        <f>1012.71</f>
        <v>1012.71</v>
      </c>
      <c r="T347" s="30">
        <f>107173</f>
        <v>107173</v>
      </c>
      <c r="U347" s="30" t="str">
        <f>"－"</f>
        <v>－</v>
      </c>
      <c r="V347" s="30">
        <f>108484381</f>
        <v>108484381</v>
      </c>
      <c r="W347" s="30" t="str">
        <f>"－"</f>
        <v>－</v>
      </c>
      <c r="X347" s="34">
        <f>7</f>
        <v>7</v>
      </c>
    </row>
    <row r="348" spans="1:24">
      <c r="A348" s="25" t="s">
        <v>1237</v>
      </c>
      <c r="B348" s="25" t="s">
        <v>762</v>
      </c>
      <c r="C348" s="25" t="s">
        <v>763</v>
      </c>
      <c r="D348" s="25" t="s">
        <v>764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</v>
      </c>
      <c r="K348" s="31">
        <f>28005</f>
        <v>28005</v>
      </c>
      <c r="L348" s="32" t="s">
        <v>1110</v>
      </c>
      <c r="M348" s="31">
        <f>30340</f>
        <v>30340</v>
      </c>
      <c r="N348" s="32" t="s">
        <v>1117</v>
      </c>
      <c r="O348" s="31">
        <f>27970</f>
        <v>27970</v>
      </c>
      <c r="P348" s="32" t="s">
        <v>1110</v>
      </c>
      <c r="Q348" s="31">
        <f>28865</f>
        <v>28865</v>
      </c>
      <c r="R348" s="32" t="s">
        <v>883</v>
      </c>
      <c r="S348" s="33">
        <f>29519.5</f>
        <v>29519.5</v>
      </c>
      <c r="T348" s="30">
        <f>267030</f>
        <v>267030</v>
      </c>
      <c r="U348" s="30">
        <f>52404</f>
        <v>52404</v>
      </c>
      <c r="V348" s="30">
        <f>7856263858</f>
        <v>7856263858</v>
      </c>
      <c r="W348" s="30">
        <f>1539281478</f>
        <v>1539281478</v>
      </c>
      <c r="X348" s="34">
        <f>20</f>
        <v>20</v>
      </c>
    </row>
    <row r="349" spans="1:24">
      <c r="A349" s="25" t="s">
        <v>1237</v>
      </c>
      <c r="B349" s="25" t="s">
        <v>765</v>
      </c>
      <c r="C349" s="25" t="s">
        <v>766</v>
      </c>
      <c r="D349" s="25" t="s">
        <v>767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12215</f>
        <v>12215</v>
      </c>
      <c r="L349" s="32" t="s">
        <v>1110</v>
      </c>
      <c r="M349" s="31">
        <f>12960</f>
        <v>12960</v>
      </c>
      <c r="N349" s="32" t="s">
        <v>684</v>
      </c>
      <c r="O349" s="31">
        <f>12175</f>
        <v>12175</v>
      </c>
      <c r="P349" s="32" t="s">
        <v>1110</v>
      </c>
      <c r="Q349" s="31">
        <f>12690</f>
        <v>12690</v>
      </c>
      <c r="R349" s="32" t="s">
        <v>883</v>
      </c>
      <c r="S349" s="33">
        <f>12694.25</f>
        <v>12694.25</v>
      </c>
      <c r="T349" s="30">
        <f>585431</f>
        <v>585431</v>
      </c>
      <c r="U349" s="30">
        <f>341709</f>
        <v>341709</v>
      </c>
      <c r="V349" s="30">
        <f>7445539417</f>
        <v>7445539417</v>
      </c>
      <c r="W349" s="30">
        <f>4375416487</f>
        <v>4375416487</v>
      </c>
      <c r="X349" s="34">
        <f>20</f>
        <v>20</v>
      </c>
    </row>
    <row r="350" spans="1:24">
      <c r="A350" s="25" t="s">
        <v>1237</v>
      </c>
      <c r="B350" s="25" t="s">
        <v>768</v>
      </c>
      <c r="C350" s="25" t="s">
        <v>769</v>
      </c>
      <c r="D350" s="25" t="s">
        <v>770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</v>
      </c>
      <c r="K350" s="31">
        <f>18520</f>
        <v>18520</v>
      </c>
      <c r="L350" s="32" t="s">
        <v>1110</v>
      </c>
      <c r="M350" s="31">
        <f>18560</f>
        <v>18560</v>
      </c>
      <c r="N350" s="32" t="s">
        <v>1110</v>
      </c>
      <c r="O350" s="31">
        <f>17420</f>
        <v>17420</v>
      </c>
      <c r="P350" s="32" t="s">
        <v>684</v>
      </c>
      <c r="Q350" s="31">
        <f>17730</f>
        <v>17730</v>
      </c>
      <c r="R350" s="32" t="s">
        <v>883</v>
      </c>
      <c r="S350" s="33">
        <f>17833.5</f>
        <v>17833.5</v>
      </c>
      <c r="T350" s="30">
        <f>83712</f>
        <v>83712</v>
      </c>
      <c r="U350" s="30">
        <f>64</f>
        <v>64</v>
      </c>
      <c r="V350" s="30">
        <f>1490576770</f>
        <v>1490576770</v>
      </c>
      <c r="W350" s="30">
        <f>1124550</f>
        <v>1124550</v>
      </c>
      <c r="X350" s="34">
        <f>20</f>
        <v>20</v>
      </c>
    </row>
    <row r="351" spans="1:24">
      <c r="A351" s="25" t="s">
        <v>1237</v>
      </c>
      <c r="B351" s="25" t="s">
        <v>771</v>
      </c>
      <c r="C351" s="25" t="s">
        <v>772</v>
      </c>
      <c r="D351" s="25" t="s">
        <v>773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3987</f>
        <v>3987</v>
      </c>
      <c r="L351" s="32" t="s">
        <v>1110</v>
      </c>
      <c r="M351" s="31">
        <f>4039</f>
        <v>4039</v>
      </c>
      <c r="N351" s="32" t="s">
        <v>1114</v>
      </c>
      <c r="O351" s="31">
        <f>3897</f>
        <v>3897</v>
      </c>
      <c r="P351" s="32" t="s">
        <v>1117</v>
      </c>
      <c r="Q351" s="31">
        <f>4008</f>
        <v>4008</v>
      </c>
      <c r="R351" s="32" t="s">
        <v>1114</v>
      </c>
      <c r="S351" s="33">
        <f>3962.47</f>
        <v>3962.47</v>
      </c>
      <c r="T351" s="30">
        <f>1649300</f>
        <v>1649300</v>
      </c>
      <c r="U351" s="30">
        <f>1550010</f>
        <v>1550010</v>
      </c>
      <c r="V351" s="30">
        <f>6518298140</f>
        <v>6518298140</v>
      </c>
      <c r="W351" s="30">
        <f>6125881530</f>
        <v>6125881530</v>
      </c>
      <c r="X351" s="34">
        <f>17</f>
        <v>17</v>
      </c>
    </row>
    <row r="352" spans="1:24">
      <c r="A352" s="25" t="s">
        <v>1237</v>
      </c>
      <c r="B352" s="25" t="s">
        <v>774</v>
      </c>
      <c r="C352" s="25" t="s">
        <v>775</v>
      </c>
      <c r="D352" s="25" t="s">
        <v>776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5155</f>
        <v>5155</v>
      </c>
      <c r="L352" s="32" t="s">
        <v>1110</v>
      </c>
      <c r="M352" s="31">
        <f>5215</f>
        <v>5215</v>
      </c>
      <c r="N352" s="32" t="s">
        <v>1113</v>
      </c>
      <c r="O352" s="31">
        <f>5055</f>
        <v>5055</v>
      </c>
      <c r="P352" s="32" t="s">
        <v>883</v>
      </c>
      <c r="Q352" s="31">
        <f>5061</f>
        <v>5061</v>
      </c>
      <c r="R352" s="32" t="s">
        <v>883</v>
      </c>
      <c r="S352" s="33">
        <f>5134.6</f>
        <v>5134.6000000000004</v>
      </c>
      <c r="T352" s="30">
        <f>49910</f>
        <v>49910</v>
      </c>
      <c r="U352" s="30">
        <f>23860</f>
        <v>23860</v>
      </c>
      <c r="V352" s="30">
        <f>256893270</f>
        <v>256893270</v>
      </c>
      <c r="W352" s="30">
        <f>123118200</f>
        <v>123118200</v>
      </c>
      <c r="X352" s="34">
        <f>20</f>
        <v>20</v>
      </c>
    </row>
    <row r="353" spans="1:24">
      <c r="A353" s="25" t="s">
        <v>1237</v>
      </c>
      <c r="B353" s="25" t="s">
        <v>786</v>
      </c>
      <c r="C353" s="25" t="s">
        <v>787</v>
      </c>
      <c r="D353" s="25" t="s">
        <v>788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2560</f>
        <v>2560</v>
      </c>
      <c r="L353" s="32" t="s">
        <v>1110</v>
      </c>
      <c r="M353" s="31">
        <f>2715</f>
        <v>2715</v>
      </c>
      <c r="N353" s="32" t="s">
        <v>684</v>
      </c>
      <c r="O353" s="31">
        <f>2550.5</f>
        <v>2550.5</v>
      </c>
      <c r="P353" s="32" t="s">
        <v>1110</v>
      </c>
      <c r="Q353" s="31">
        <f>2661</f>
        <v>2661</v>
      </c>
      <c r="R353" s="32" t="s">
        <v>883</v>
      </c>
      <c r="S353" s="33">
        <f>2659.6</f>
        <v>2659.6</v>
      </c>
      <c r="T353" s="30">
        <f>3117670</f>
        <v>3117670</v>
      </c>
      <c r="U353" s="30">
        <f>2253400</f>
        <v>2253400</v>
      </c>
      <c r="V353" s="30">
        <f>8184118485</f>
        <v>8184118485</v>
      </c>
      <c r="W353" s="30">
        <f>5891682665</f>
        <v>5891682665</v>
      </c>
      <c r="X353" s="34">
        <f>20</f>
        <v>20</v>
      </c>
    </row>
    <row r="354" spans="1:24">
      <c r="A354" s="25" t="s">
        <v>1237</v>
      </c>
      <c r="B354" s="25" t="s">
        <v>789</v>
      </c>
      <c r="C354" s="25" t="s">
        <v>790</v>
      </c>
      <c r="D354" s="25" t="s">
        <v>791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10</v>
      </c>
      <c r="K354" s="31">
        <f>2158</f>
        <v>2158</v>
      </c>
      <c r="L354" s="32" t="s">
        <v>1110</v>
      </c>
      <c r="M354" s="31">
        <f>2318</f>
        <v>2318</v>
      </c>
      <c r="N354" s="32" t="s">
        <v>1111</v>
      </c>
      <c r="O354" s="31">
        <f>2143.5</f>
        <v>2143.5</v>
      </c>
      <c r="P354" s="32" t="s">
        <v>674</v>
      </c>
      <c r="Q354" s="31">
        <f>2311</f>
        <v>2311</v>
      </c>
      <c r="R354" s="32" t="s">
        <v>883</v>
      </c>
      <c r="S354" s="33">
        <f>2258.5</f>
        <v>2258.5</v>
      </c>
      <c r="T354" s="30">
        <f>3593190</f>
        <v>3593190</v>
      </c>
      <c r="U354" s="30">
        <f>2486010</f>
        <v>2486010</v>
      </c>
      <c r="V354" s="30">
        <f>8001371392</f>
        <v>8001371392</v>
      </c>
      <c r="W354" s="30">
        <f>5507449307</f>
        <v>5507449307</v>
      </c>
      <c r="X354" s="34">
        <f>20</f>
        <v>20</v>
      </c>
    </row>
    <row r="355" spans="1:24">
      <c r="A355" s="25" t="s">
        <v>1237</v>
      </c>
      <c r="B355" s="25" t="s">
        <v>792</v>
      </c>
      <c r="C355" s="25" t="s">
        <v>793</v>
      </c>
      <c r="D355" s="25" t="s">
        <v>794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</v>
      </c>
      <c r="K355" s="31">
        <f>1851</f>
        <v>1851</v>
      </c>
      <c r="L355" s="32" t="s">
        <v>1110</v>
      </c>
      <c r="M355" s="31">
        <f>1916</f>
        <v>1916</v>
      </c>
      <c r="N355" s="32" t="s">
        <v>1113</v>
      </c>
      <c r="O355" s="31">
        <f>1843</f>
        <v>1843</v>
      </c>
      <c r="P355" s="32" t="s">
        <v>1110</v>
      </c>
      <c r="Q355" s="31">
        <f>1873</f>
        <v>1873</v>
      </c>
      <c r="R355" s="32" t="s">
        <v>883</v>
      </c>
      <c r="S355" s="33">
        <f>1872.68</f>
        <v>1872.68</v>
      </c>
      <c r="T355" s="30">
        <f>17259</f>
        <v>17259</v>
      </c>
      <c r="U355" s="30" t="str">
        <f>"－"</f>
        <v>－</v>
      </c>
      <c r="V355" s="30">
        <f>32374259</f>
        <v>32374259</v>
      </c>
      <c r="W355" s="30" t="str">
        <f>"－"</f>
        <v>－</v>
      </c>
      <c r="X355" s="34">
        <f>19</f>
        <v>19</v>
      </c>
    </row>
    <row r="356" spans="1:24">
      <c r="A356" s="25" t="s">
        <v>1237</v>
      </c>
      <c r="B356" s="25" t="s">
        <v>795</v>
      </c>
      <c r="C356" s="25" t="s">
        <v>796</v>
      </c>
      <c r="D356" s="25" t="s">
        <v>797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2043</f>
        <v>2043</v>
      </c>
      <c r="L356" s="32" t="s">
        <v>1110</v>
      </c>
      <c r="M356" s="31">
        <f>2128</f>
        <v>2128</v>
      </c>
      <c r="N356" s="32" t="s">
        <v>677</v>
      </c>
      <c r="O356" s="31">
        <f>2037</f>
        <v>2037</v>
      </c>
      <c r="P356" s="32" t="s">
        <v>1114</v>
      </c>
      <c r="Q356" s="31">
        <f>2046</f>
        <v>2046</v>
      </c>
      <c r="R356" s="32" t="s">
        <v>883</v>
      </c>
      <c r="S356" s="33">
        <f>2067.95</f>
        <v>2067.9499999999998</v>
      </c>
      <c r="T356" s="30">
        <f>232232</f>
        <v>232232</v>
      </c>
      <c r="U356" s="30">
        <f>190000</f>
        <v>190000</v>
      </c>
      <c r="V356" s="30">
        <f>481017842</f>
        <v>481017842</v>
      </c>
      <c r="W356" s="30">
        <f>393184286</f>
        <v>393184286</v>
      </c>
      <c r="X356" s="34">
        <f>20</f>
        <v>20</v>
      </c>
    </row>
    <row r="357" spans="1:24">
      <c r="A357" s="25" t="s">
        <v>1237</v>
      </c>
      <c r="B357" s="25" t="s">
        <v>798</v>
      </c>
      <c r="C357" s="25" t="s">
        <v>799</v>
      </c>
      <c r="D357" s="25" t="s">
        <v>800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</v>
      </c>
      <c r="K357" s="31">
        <f>4265</f>
        <v>4265</v>
      </c>
      <c r="L357" s="32" t="s">
        <v>1110</v>
      </c>
      <c r="M357" s="31">
        <f>4400</f>
        <v>4400</v>
      </c>
      <c r="N357" s="32" t="s">
        <v>875</v>
      </c>
      <c r="O357" s="31">
        <f>4265</f>
        <v>4265</v>
      </c>
      <c r="P357" s="32" t="s">
        <v>1110</v>
      </c>
      <c r="Q357" s="31">
        <f>4330</f>
        <v>4330</v>
      </c>
      <c r="R357" s="32" t="s">
        <v>883</v>
      </c>
      <c r="S357" s="33">
        <f>4329.5</f>
        <v>4329.5</v>
      </c>
      <c r="T357" s="30">
        <f>48689</f>
        <v>48689</v>
      </c>
      <c r="U357" s="30">
        <f>30000</f>
        <v>30000</v>
      </c>
      <c r="V357" s="30">
        <f>210561845</f>
        <v>210561845</v>
      </c>
      <c r="W357" s="30">
        <f>129689000</f>
        <v>129689000</v>
      </c>
      <c r="X357" s="34">
        <f>20</f>
        <v>20</v>
      </c>
    </row>
    <row r="358" spans="1:24">
      <c r="A358" s="25" t="s">
        <v>1237</v>
      </c>
      <c r="B358" s="25" t="s">
        <v>801</v>
      </c>
      <c r="C358" s="25" t="s">
        <v>802</v>
      </c>
      <c r="D358" s="25" t="s">
        <v>803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2767.5</f>
        <v>2767.5</v>
      </c>
      <c r="L358" s="32" t="s">
        <v>1124</v>
      </c>
      <c r="M358" s="31">
        <f>2836</f>
        <v>2836</v>
      </c>
      <c r="N358" s="32" t="s">
        <v>1113</v>
      </c>
      <c r="O358" s="31">
        <f>2730.5</f>
        <v>2730.5</v>
      </c>
      <c r="P358" s="32" t="s">
        <v>1123</v>
      </c>
      <c r="Q358" s="31">
        <f>2735</f>
        <v>2735</v>
      </c>
      <c r="R358" s="32" t="s">
        <v>676</v>
      </c>
      <c r="S358" s="33">
        <f>2781.85</f>
        <v>2781.85</v>
      </c>
      <c r="T358" s="30">
        <f>8160</f>
        <v>8160</v>
      </c>
      <c r="U358" s="30" t="str">
        <f>"－"</f>
        <v>－</v>
      </c>
      <c r="V358" s="30">
        <f>22624545</f>
        <v>22624545</v>
      </c>
      <c r="W358" s="30" t="str">
        <f>"－"</f>
        <v>－</v>
      </c>
      <c r="X358" s="34">
        <f>10</f>
        <v>10</v>
      </c>
    </row>
    <row r="359" spans="1:24">
      <c r="A359" s="25" t="s">
        <v>1237</v>
      </c>
      <c r="B359" s="25" t="s">
        <v>812</v>
      </c>
      <c r="C359" s="25" t="s">
        <v>813</v>
      </c>
      <c r="D359" s="25" t="s">
        <v>814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10</v>
      </c>
      <c r="K359" s="31">
        <f>264.1</f>
        <v>264.10000000000002</v>
      </c>
      <c r="L359" s="32" t="s">
        <v>1110</v>
      </c>
      <c r="M359" s="31">
        <f>279.6</f>
        <v>279.60000000000002</v>
      </c>
      <c r="N359" s="32" t="s">
        <v>684</v>
      </c>
      <c r="O359" s="31">
        <f>263.8</f>
        <v>263.8</v>
      </c>
      <c r="P359" s="32" t="s">
        <v>1110</v>
      </c>
      <c r="Q359" s="31">
        <f>270.3</f>
        <v>270.3</v>
      </c>
      <c r="R359" s="32" t="s">
        <v>883</v>
      </c>
      <c r="S359" s="33">
        <f>271.18</f>
        <v>271.18</v>
      </c>
      <c r="T359" s="30">
        <f>6600</f>
        <v>6600</v>
      </c>
      <c r="U359" s="30" t="str">
        <f>"－"</f>
        <v>－</v>
      </c>
      <c r="V359" s="30">
        <f>1792783</f>
        <v>1792783</v>
      </c>
      <c r="W359" s="30" t="str">
        <f>"－"</f>
        <v>－</v>
      </c>
      <c r="X359" s="34">
        <f>20</f>
        <v>20</v>
      </c>
    </row>
    <row r="360" spans="1:24">
      <c r="A360" s="25" t="s">
        <v>1237</v>
      </c>
      <c r="B360" s="25" t="s">
        <v>804</v>
      </c>
      <c r="C360" s="25" t="s">
        <v>805</v>
      </c>
      <c r="D360" s="25" t="s">
        <v>806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10</v>
      </c>
      <c r="K360" s="31">
        <f>166.9</f>
        <v>166.9</v>
      </c>
      <c r="L360" s="32" t="s">
        <v>1110</v>
      </c>
      <c r="M360" s="31">
        <f>169</f>
        <v>169</v>
      </c>
      <c r="N360" s="32" t="s">
        <v>1124</v>
      </c>
      <c r="O360" s="31">
        <f>162.2</f>
        <v>162.19999999999999</v>
      </c>
      <c r="P360" s="32" t="s">
        <v>1117</v>
      </c>
      <c r="Q360" s="31">
        <f>164.8</f>
        <v>164.8</v>
      </c>
      <c r="R360" s="32" t="s">
        <v>883</v>
      </c>
      <c r="S360" s="33">
        <f>164.7</f>
        <v>164.7</v>
      </c>
      <c r="T360" s="30">
        <f>27250</f>
        <v>27250</v>
      </c>
      <c r="U360" s="30" t="str">
        <f>"－"</f>
        <v>－</v>
      </c>
      <c r="V360" s="30">
        <f>4496048</f>
        <v>4496048</v>
      </c>
      <c r="W360" s="30" t="str">
        <f>"－"</f>
        <v>－</v>
      </c>
      <c r="X360" s="34">
        <f>20</f>
        <v>20</v>
      </c>
    </row>
    <row r="361" spans="1:24">
      <c r="A361" s="25" t="s">
        <v>1237</v>
      </c>
      <c r="B361" s="25" t="s">
        <v>807</v>
      </c>
      <c r="C361" s="25" t="s">
        <v>808</v>
      </c>
      <c r="D361" s="25" t="s">
        <v>809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10</v>
      </c>
      <c r="K361" s="31">
        <f>660</f>
        <v>660</v>
      </c>
      <c r="L361" s="32" t="s">
        <v>1124</v>
      </c>
      <c r="M361" s="31">
        <f>670.5</f>
        <v>670.5</v>
      </c>
      <c r="N361" s="32" t="s">
        <v>676</v>
      </c>
      <c r="O361" s="31">
        <f>658.6</f>
        <v>658.6</v>
      </c>
      <c r="P361" s="32" t="s">
        <v>678</v>
      </c>
      <c r="Q361" s="31">
        <f>665.4</f>
        <v>665.4</v>
      </c>
      <c r="R361" s="32" t="s">
        <v>1111</v>
      </c>
      <c r="S361" s="33">
        <f>663.44</f>
        <v>663.44</v>
      </c>
      <c r="T361" s="30">
        <f>10970</f>
        <v>10970</v>
      </c>
      <c r="U361" s="30">
        <f>10090</f>
        <v>10090</v>
      </c>
      <c r="V361" s="30">
        <f>7276928</f>
        <v>7276928</v>
      </c>
      <c r="W361" s="30">
        <f>6694715</f>
        <v>6694715</v>
      </c>
      <c r="X361" s="34">
        <f>7</f>
        <v>7</v>
      </c>
    </row>
    <row r="362" spans="1:24">
      <c r="A362" s="25" t="s">
        <v>1237</v>
      </c>
      <c r="B362" s="25" t="s">
        <v>815</v>
      </c>
      <c r="C362" s="25" t="s">
        <v>816</v>
      </c>
      <c r="D362" s="25" t="s">
        <v>817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</v>
      </c>
      <c r="K362" s="31">
        <f>1535</f>
        <v>1535</v>
      </c>
      <c r="L362" s="32" t="s">
        <v>1110</v>
      </c>
      <c r="M362" s="31">
        <f>1571</f>
        <v>1571</v>
      </c>
      <c r="N362" s="32" t="s">
        <v>677</v>
      </c>
      <c r="O362" s="31">
        <f>1480</f>
        <v>1480</v>
      </c>
      <c r="P362" s="32" t="s">
        <v>1110</v>
      </c>
      <c r="Q362" s="31">
        <f>1516</f>
        <v>1516</v>
      </c>
      <c r="R362" s="32" t="s">
        <v>883</v>
      </c>
      <c r="S362" s="33">
        <f>1515.7</f>
        <v>1515.7</v>
      </c>
      <c r="T362" s="30">
        <f>649423</f>
        <v>649423</v>
      </c>
      <c r="U362" s="30">
        <f>160371</f>
        <v>160371</v>
      </c>
      <c r="V362" s="30">
        <f>983090983</f>
        <v>983090983</v>
      </c>
      <c r="W362" s="30">
        <f>244083036</f>
        <v>244083036</v>
      </c>
      <c r="X362" s="34">
        <f>20</f>
        <v>20</v>
      </c>
    </row>
    <row r="363" spans="1:24">
      <c r="A363" s="25" t="s">
        <v>1237</v>
      </c>
      <c r="B363" s="25" t="s">
        <v>818</v>
      </c>
      <c r="C363" s="25" t="s">
        <v>819</v>
      </c>
      <c r="D363" s="25" t="s">
        <v>820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878</f>
        <v>878</v>
      </c>
      <c r="L363" s="32" t="s">
        <v>1110</v>
      </c>
      <c r="M363" s="31">
        <f>896</f>
        <v>896</v>
      </c>
      <c r="N363" s="32" t="s">
        <v>1124</v>
      </c>
      <c r="O363" s="31">
        <f>862</f>
        <v>862</v>
      </c>
      <c r="P363" s="32" t="s">
        <v>1117</v>
      </c>
      <c r="Q363" s="31">
        <f>870</f>
        <v>870</v>
      </c>
      <c r="R363" s="32" t="s">
        <v>883</v>
      </c>
      <c r="S363" s="33">
        <f>874.5</f>
        <v>874.5</v>
      </c>
      <c r="T363" s="30">
        <f>66842</f>
        <v>66842</v>
      </c>
      <c r="U363" s="30">
        <f>2</f>
        <v>2</v>
      </c>
      <c r="V363" s="30">
        <f>58614164</f>
        <v>58614164</v>
      </c>
      <c r="W363" s="30">
        <f>1756</f>
        <v>1756</v>
      </c>
      <c r="X363" s="34">
        <f>20</f>
        <v>20</v>
      </c>
    </row>
    <row r="364" spans="1:24">
      <c r="A364" s="25" t="s">
        <v>1237</v>
      </c>
      <c r="B364" s="25" t="s">
        <v>821</v>
      </c>
      <c r="C364" s="25" t="s">
        <v>822</v>
      </c>
      <c r="D364" s="25" t="s">
        <v>823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10</v>
      </c>
      <c r="K364" s="31">
        <f>690.1</f>
        <v>690.1</v>
      </c>
      <c r="L364" s="32" t="s">
        <v>1110</v>
      </c>
      <c r="M364" s="31">
        <f>693.3</f>
        <v>693.3</v>
      </c>
      <c r="N364" s="32" t="s">
        <v>674</v>
      </c>
      <c r="O364" s="31">
        <f>685.2</f>
        <v>685.2</v>
      </c>
      <c r="P364" s="32" t="s">
        <v>875</v>
      </c>
      <c r="Q364" s="31">
        <f>692.8</f>
        <v>692.8</v>
      </c>
      <c r="R364" s="32" t="s">
        <v>883</v>
      </c>
      <c r="S364" s="33">
        <f>688.88</f>
        <v>688.88</v>
      </c>
      <c r="T364" s="30">
        <f>6352480</f>
        <v>6352480</v>
      </c>
      <c r="U364" s="30">
        <f>5102400</f>
        <v>5102400</v>
      </c>
      <c r="V364" s="30">
        <f>4360453951</f>
        <v>4360453951</v>
      </c>
      <c r="W364" s="30">
        <f>3499856484</f>
        <v>3499856484</v>
      </c>
      <c r="X364" s="34">
        <f>20</f>
        <v>20</v>
      </c>
    </row>
    <row r="365" spans="1:24">
      <c r="A365" s="25" t="s">
        <v>1237</v>
      </c>
      <c r="B365" s="25" t="s">
        <v>824</v>
      </c>
      <c r="C365" s="25" t="s">
        <v>825</v>
      </c>
      <c r="D365" s="25" t="s">
        <v>826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10</v>
      </c>
      <c r="K365" s="31">
        <f>684.9</f>
        <v>684.9</v>
      </c>
      <c r="L365" s="32" t="s">
        <v>1110</v>
      </c>
      <c r="M365" s="31">
        <f>697.3</f>
        <v>697.3</v>
      </c>
      <c r="N365" s="32" t="s">
        <v>883</v>
      </c>
      <c r="O365" s="31">
        <f>677.5</f>
        <v>677.5</v>
      </c>
      <c r="P365" s="32" t="s">
        <v>1124</v>
      </c>
      <c r="Q365" s="31">
        <f>694.4</f>
        <v>694.4</v>
      </c>
      <c r="R365" s="32" t="s">
        <v>883</v>
      </c>
      <c r="S365" s="33">
        <f>685.57</f>
        <v>685.57</v>
      </c>
      <c r="T365" s="30">
        <f>2903600</f>
        <v>2903600</v>
      </c>
      <c r="U365" s="30">
        <f>2839880</f>
        <v>2839880</v>
      </c>
      <c r="V365" s="30">
        <f>1985992883</f>
        <v>1985992883</v>
      </c>
      <c r="W365" s="30">
        <f>1942218230</f>
        <v>1942218230</v>
      </c>
      <c r="X365" s="34">
        <f>17</f>
        <v>17</v>
      </c>
    </row>
    <row r="366" spans="1:24">
      <c r="A366" s="25" t="s">
        <v>1237</v>
      </c>
      <c r="B366" s="25" t="s">
        <v>827</v>
      </c>
      <c r="C366" s="25" t="s">
        <v>828</v>
      </c>
      <c r="D366" s="25" t="s">
        <v>829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</v>
      </c>
      <c r="K366" s="31">
        <f>1150</f>
        <v>1150</v>
      </c>
      <c r="L366" s="32" t="s">
        <v>1110</v>
      </c>
      <c r="M366" s="31">
        <f>1240</f>
        <v>1240</v>
      </c>
      <c r="N366" s="32" t="s">
        <v>1115</v>
      </c>
      <c r="O366" s="31">
        <f>1086</f>
        <v>1086</v>
      </c>
      <c r="P366" s="32" t="s">
        <v>1113</v>
      </c>
      <c r="Q366" s="31">
        <f>1157</f>
        <v>1157</v>
      </c>
      <c r="R366" s="32" t="s">
        <v>883</v>
      </c>
      <c r="S366" s="33">
        <f>1158.3</f>
        <v>1158.3</v>
      </c>
      <c r="T366" s="30">
        <f>23709</f>
        <v>23709</v>
      </c>
      <c r="U366" s="30" t="str">
        <f t="shared" ref="U366:U371" si="9">"－"</f>
        <v>－</v>
      </c>
      <c r="V366" s="30">
        <f>27485447</f>
        <v>27485447</v>
      </c>
      <c r="W366" s="30" t="str">
        <f t="shared" ref="W366:W371" si="10">"－"</f>
        <v>－</v>
      </c>
      <c r="X366" s="34">
        <f>20</f>
        <v>20</v>
      </c>
    </row>
    <row r="367" spans="1:24">
      <c r="A367" s="25" t="s">
        <v>1237</v>
      </c>
      <c r="B367" s="25" t="s">
        <v>836</v>
      </c>
      <c r="C367" s="25" t="s">
        <v>837</v>
      </c>
      <c r="D367" s="25" t="s">
        <v>838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10</v>
      </c>
      <c r="K367" s="31">
        <f>2510</f>
        <v>2510</v>
      </c>
      <c r="L367" s="32" t="s">
        <v>1110</v>
      </c>
      <c r="M367" s="31">
        <f>2550.5</f>
        <v>2550.5</v>
      </c>
      <c r="N367" s="32" t="s">
        <v>1124</v>
      </c>
      <c r="O367" s="31">
        <f>2460</f>
        <v>2460</v>
      </c>
      <c r="P367" s="32" t="s">
        <v>1117</v>
      </c>
      <c r="Q367" s="31">
        <f>2476</f>
        <v>2476</v>
      </c>
      <c r="R367" s="32" t="s">
        <v>883</v>
      </c>
      <c r="S367" s="33">
        <f>2492.08</f>
        <v>2492.08</v>
      </c>
      <c r="T367" s="30">
        <f>84540</f>
        <v>84540</v>
      </c>
      <c r="U367" s="30" t="str">
        <f t="shared" si="9"/>
        <v>－</v>
      </c>
      <c r="V367" s="30">
        <f>211354785</f>
        <v>211354785</v>
      </c>
      <c r="W367" s="30" t="str">
        <f t="shared" si="10"/>
        <v>－</v>
      </c>
      <c r="X367" s="34">
        <f>20</f>
        <v>20</v>
      </c>
    </row>
    <row r="368" spans="1:24">
      <c r="A368" s="25" t="s">
        <v>1237</v>
      </c>
      <c r="B368" s="25" t="s">
        <v>839</v>
      </c>
      <c r="C368" s="25" t="s">
        <v>840</v>
      </c>
      <c r="D368" s="25" t="s">
        <v>841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10</v>
      </c>
      <c r="K368" s="31">
        <f>2598.5</f>
        <v>2598.5</v>
      </c>
      <c r="L368" s="32" t="s">
        <v>1110</v>
      </c>
      <c r="M368" s="31">
        <f>2670.5</f>
        <v>2670.5</v>
      </c>
      <c r="N368" s="32" t="s">
        <v>677</v>
      </c>
      <c r="O368" s="31">
        <f>2580</f>
        <v>2580</v>
      </c>
      <c r="P368" s="32" t="s">
        <v>1117</v>
      </c>
      <c r="Q368" s="31">
        <f>2638</f>
        <v>2638</v>
      </c>
      <c r="R368" s="32" t="s">
        <v>883</v>
      </c>
      <c r="S368" s="33">
        <f>2611.22</f>
        <v>2611.2199999999998</v>
      </c>
      <c r="T368" s="30">
        <f>23320</f>
        <v>23320</v>
      </c>
      <c r="U368" s="30" t="str">
        <f t="shared" si="9"/>
        <v>－</v>
      </c>
      <c r="V368" s="30">
        <f>60817840</f>
        <v>60817840</v>
      </c>
      <c r="W368" s="30" t="str">
        <f t="shared" si="10"/>
        <v>－</v>
      </c>
      <c r="X368" s="34">
        <f>18</f>
        <v>18</v>
      </c>
    </row>
    <row r="369" spans="1:24">
      <c r="A369" s="25" t="s">
        <v>1237</v>
      </c>
      <c r="B369" s="25" t="s">
        <v>830</v>
      </c>
      <c r="C369" s="25" t="s">
        <v>831</v>
      </c>
      <c r="D369" s="25" t="s">
        <v>832</v>
      </c>
      <c r="E369" s="26" t="s">
        <v>43</v>
      </c>
      <c r="F369" s="27" t="s">
        <v>43</v>
      </c>
      <c r="G369" s="28" t="s">
        <v>43</v>
      </c>
      <c r="H369" s="29"/>
      <c r="I369" s="29" t="s">
        <v>44</v>
      </c>
      <c r="J369" s="30">
        <v>10</v>
      </c>
      <c r="K369" s="31">
        <f>5410</f>
        <v>5410</v>
      </c>
      <c r="L369" s="32" t="s">
        <v>1115</v>
      </c>
      <c r="M369" s="31">
        <f>5410</f>
        <v>5410</v>
      </c>
      <c r="N369" s="32" t="s">
        <v>1115</v>
      </c>
      <c r="O369" s="31">
        <f>5260</f>
        <v>5260</v>
      </c>
      <c r="P369" s="32" t="s">
        <v>883</v>
      </c>
      <c r="Q369" s="31">
        <f>5267</f>
        <v>5267</v>
      </c>
      <c r="R369" s="32" t="s">
        <v>883</v>
      </c>
      <c r="S369" s="33">
        <f>5336.09</f>
        <v>5336.09</v>
      </c>
      <c r="T369" s="30">
        <f>3610</f>
        <v>3610</v>
      </c>
      <c r="U369" s="30" t="str">
        <f t="shared" si="9"/>
        <v>－</v>
      </c>
      <c r="V369" s="30">
        <f>19055420</f>
        <v>19055420</v>
      </c>
      <c r="W369" s="30" t="str">
        <f t="shared" si="10"/>
        <v>－</v>
      </c>
      <c r="X369" s="34">
        <f>11</f>
        <v>11</v>
      </c>
    </row>
    <row r="370" spans="1:24">
      <c r="A370" s="25" t="s">
        <v>1237</v>
      </c>
      <c r="B370" s="25" t="s">
        <v>833</v>
      </c>
      <c r="C370" s="25" t="s">
        <v>834</v>
      </c>
      <c r="D370" s="25" t="s">
        <v>835</v>
      </c>
      <c r="E370" s="26" t="s">
        <v>43</v>
      </c>
      <c r="F370" s="27" t="s">
        <v>43</v>
      </c>
      <c r="G370" s="28" t="s">
        <v>43</v>
      </c>
      <c r="H370" s="29"/>
      <c r="I370" s="29" t="s">
        <v>44</v>
      </c>
      <c r="J370" s="30">
        <v>10</v>
      </c>
      <c r="K370" s="31">
        <f>4150</f>
        <v>4150</v>
      </c>
      <c r="L370" s="32" t="s">
        <v>1113</v>
      </c>
      <c r="M370" s="31">
        <f>4220</f>
        <v>4220</v>
      </c>
      <c r="N370" s="32" t="s">
        <v>883</v>
      </c>
      <c r="O370" s="31">
        <f>4150</f>
        <v>4150</v>
      </c>
      <c r="P370" s="32" t="s">
        <v>1113</v>
      </c>
      <c r="Q370" s="31">
        <f>4220</f>
        <v>4220</v>
      </c>
      <c r="R370" s="32" t="s">
        <v>883</v>
      </c>
      <c r="S370" s="33">
        <f>4184.8</f>
        <v>4184.8</v>
      </c>
      <c r="T370" s="30">
        <f>740</f>
        <v>740</v>
      </c>
      <c r="U370" s="30" t="str">
        <f t="shared" si="9"/>
        <v>－</v>
      </c>
      <c r="V370" s="30">
        <f>3074140</f>
        <v>3074140</v>
      </c>
      <c r="W370" s="30" t="str">
        <f t="shared" si="10"/>
        <v>－</v>
      </c>
      <c r="X370" s="34">
        <f>5</f>
        <v>5</v>
      </c>
    </row>
    <row r="371" spans="1:24">
      <c r="A371" s="25" t="s">
        <v>1237</v>
      </c>
      <c r="B371" s="25" t="s">
        <v>842</v>
      </c>
      <c r="C371" s="25" t="s">
        <v>843</v>
      </c>
      <c r="D371" s="25" t="s">
        <v>844</v>
      </c>
      <c r="E371" s="26" t="s">
        <v>43</v>
      </c>
      <c r="F371" s="27" t="s">
        <v>43</v>
      </c>
      <c r="G371" s="28" t="s">
        <v>43</v>
      </c>
      <c r="H371" s="29"/>
      <c r="I371" s="29" t="s">
        <v>44</v>
      </c>
      <c r="J371" s="30">
        <v>10</v>
      </c>
      <c r="K371" s="31">
        <f>1906</f>
        <v>1906</v>
      </c>
      <c r="L371" s="32" t="s">
        <v>674</v>
      </c>
      <c r="M371" s="31">
        <f>1931</f>
        <v>1931</v>
      </c>
      <c r="N371" s="32" t="s">
        <v>883</v>
      </c>
      <c r="O371" s="31">
        <f>1890</f>
        <v>1890</v>
      </c>
      <c r="P371" s="32" t="s">
        <v>1124</v>
      </c>
      <c r="Q371" s="31">
        <f>1931</f>
        <v>1931</v>
      </c>
      <c r="R371" s="32" t="s">
        <v>883</v>
      </c>
      <c r="S371" s="33">
        <f>1908.94</f>
        <v>1908.94</v>
      </c>
      <c r="T371" s="30">
        <f>2070</f>
        <v>2070</v>
      </c>
      <c r="U371" s="30" t="str">
        <f t="shared" si="9"/>
        <v>－</v>
      </c>
      <c r="V371" s="30">
        <f>3939430</f>
        <v>3939430</v>
      </c>
      <c r="W371" s="30" t="str">
        <f t="shared" si="10"/>
        <v>－</v>
      </c>
      <c r="X371" s="34">
        <f>9</f>
        <v>9</v>
      </c>
    </row>
    <row r="372" spans="1:24">
      <c r="A372" s="25" t="s">
        <v>1237</v>
      </c>
      <c r="B372" s="25" t="s">
        <v>845</v>
      </c>
      <c r="C372" s="25" t="s">
        <v>846</v>
      </c>
      <c r="D372" s="25" t="s">
        <v>847</v>
      </c>
      <c r="E372" s="26" t="s">
        <v>43</v>
      </c>
      <c r="F372" s="27" t="s">
        <v>43</v>
      </c>
      <c r="G372" s="28" t="s">
        <v>43</v>
      </c>
      <c r="H372" s="29"/>
      <c r="I372" s="29" t="s">
        <v>44</v>
      </c>
      <c r="J372" s="30">
        <v>1</v>
      </c>
      <c r="K372" s="31">
        <f>1332</f>
        <v>1332</v>
      </c>
      <c r="L372" s="32" t="s">
        <v>1110</v>
      </c>
      <c r="M372" s="31">
        <f>1372</f>
        <v>1372</v>
      </c>
      <c r="N372" s="32" t="s">
        <v>1124</v>
      </c>
      <c r="O372" s="31">
        <f>1323</f>
        <v>1323</v>
      </c>
      <c r="P372" s="32" t="s">
        <v>874</v>
      </c>
      <c r="Q372" s="31">
        <f>1330</f>
        <v>1330</v>
      </c>
      <c r="R372" s="32" t="s">
        <v>883</v>
      </c>
      <c r="S372" s="33">
        <f>1343</f>
        <v>1343</v>
      </c>
      <c r="T372" s="30">
        <f>73758</f>
        <v>73758</v>
      </c>
      <c r="U372" s="30">
        <f>30000</f>
        <v>30000</v>
      </c>
      <c r="V372" s="30">
        <f>99436184</f>
        <v>99436184</v>
      </c>
      <c r="W372" s="30">
        <f>40706307</f>
        <v>40706307</v>
      </c>
      <c r="X372" s="34">
        <f>20</f>
        <v>20</v>
      </c>
    </row>
    <row r="373" spans="1:24">
      <c r="A373" s="25" t="s">
        <v>1237</v>
      </c>
      <c r="B373" s="25" t="s">
        <v>848</v>
      </c>
      <c r="C373" s="25" t="s">
        <v>849</v>
      </c>
      <c r="D373" s="25" t="s">
        <v>850</v>
      </c>
      <c r="E373" s="26" t="s">
        <v>43</v>
      </c>
      <c r="F373" s="27" t="s">
        <v>43</v>
      </c>
      <c r="G373" s="28" t="s">
        <v>43</v>
      </c>
      <c r="H373" s="29"/>
      <c r="I373" s="29" t="s">
        <v>44</v>
      </c>
      <c r="J373" s="30">
        <v>1</v>
      </c>
      <c r="K373" s="31">
        <f>1199</f>
        <v>1199</v>
      </c>
      <c r="L373" s="32" t="s">
        <v>1110</v>
      </c>
      <c r="M373" s="31">
        <f>1264</f>
        <v>1264</v>
      </c>
      <c r="N373" s="32" t="s">
        <v>875</v>
      </c>
      <c r="O373" s="31">
        <f>1189</f>
        <v>1189</v>
      </c>
      <c r="P373" s="32" t="s">
        <v>1110</v>
      </c>
      <c r="Q373" s="31">
        <f>1201</f>
        <v>1201</v>
      </c>
      <c r="R373" s="32" t="s">
        <v>883</v>
      </c>
      <c r="S373" s="33">
        <f>1229.6</f>
        <v>1229.5999999999999</v>
      </c>
      <c r="T373" s="30">
        <f>4477988</f>
        <v>4477988</v>
      </c>
      <c r="U373" s="30">
        <f>812</f>
        <v>812</v>
      </c>
      <c r="V373" s="30">
        <f>5487074825</f>
        <v>5487074825</v>
      </c>
      <c r="W373" s="30">
        <f>993837</f>
        <v>993837</v>
      </c>
      <c r="X373" s="34">
        <f>20</f>
        <v>20</v>
      </c>
    </row>
    <row r="374" spans="1:24">
      <c r="A374" s="25" t="s">
        <v>1237</v>
      </c>
      <c r="B374" s="25" t="s">
        <v>851</v>
      </c>
      <c r="C374" s="25" t="s">
        <v>852</v>
      </c>
      <c r="D374" s="25" t="s">
        <v>853</v>
      </c>
      <c r="E374" s="26" t="s">
        <v>43</v>
      </c>
      <c r="F374" s="27" t="s">
        <v>43</v>
      </c>
      <c r="G374" s="28" t="s">
        <v>43</v>
      </c>
      <c r="H374" s="29"/>
      <c r="I374" s="29" t="s">
        <v>44</v>
      </c>
      <c r="J374" s="30">
        <v>1</v>
      </c>
      <c r="K374" s="31">
        <f>1050</f>
        <v>1050</v>
      </c>
      <c r="L374" s="32" t="s">
        <v>1110</v>
      </c>
      <c r="M374" s="31">
        <f>1075</f>
        <v>1075</v>
      </c>
      <c r="N374" s="32" t="s">
        <v>1124</v>
      </c>
      <c r="O374" s="31">
        <f>1025</f>
        <v>1025</v>
      </c>
      <c r="P374" s="32" t="s">
        <v>883</v>
      </c>
      <c r="Q374" s="31">
        <f>1028</f>
        <v>1028</v>
      </c>
      <c r="R374" s="32" t="s">
        <v>883</v>
      </c>
      <c r="S374" s="33">
        <f>1055.55</f>
        <v>1055.55</v>
      </c>
      <c r="T374" s="30">
        <f>618714</f>
        <v>618714</v>
      </c>
      <c r="U374" s="30">
        <f>38</f>
        <v>38</v>
      </c>
      <c r="V374" s="30">
        <f>652027559</f>
        <v>652027559</v>
      </c>
      <c r="W374" s="30">
        <f>40320</f>
        <v>40320</v>
      </c>
      <c r="X374" s="34">
        <f>20</f>
        <v>20</v>
      </c>
    </row>
    <row r="375" spans="1:24">
      <c r="A375" s="25" t="s">
        <v>1237</v>
      </c>
      <c r="B375" s="25" t="s">
        <v>858</v>
      </c>
      <c r="C375" s="25" t="s">
        <v>859</v>
      </c>
      <c r="D375" s="25" t="s">
        <v>860</v>
      </c>
      <c r="E375" s="26" t="s">
        <v>43</v>
      </c>
      <c r="F375" s="27" t="s">
        <v>43</v>
      </c>
      <c r="G375" s="28" t="s">
        <v>43</v>
      </c>
      <c r="H375" s="29"/>
      <c r="I375" s="29" t="s">
        <v>44</v>
      </c>
      <c r="J375" s="30">
        <v>1</v>
      </c>
      <c r="K375" s="31">
        <f>1079</f>
        <v>1079</v>
      </c>
      <c r="L375" s="32" t="s">
        <v>1110</v>
      </c>
      <c r="M375" s="31">
        <f>1167</f>
        <v>1167</v>
      </c>
      <c r="N375" s="32" t="s">
        <v>677</v>
      </c>
      <c r="O375" s="31">
        <f>1053</f>
        <v>1053</v>
      </c>
      <c r="P375" s="32" t="s">
        <v>1110</v>
      </c>
      <c r="Q375" s="31">
        <f>1102</f>
        <v>1102</v>
      </c>
      <c r="R375" s="32" t="s">
        <v>883</v>
      </c>
      <c r="S375" s="33">
        <f>1125.1</f>
        <v>1125.0999999999999</v>
      </c>
      <c r="T375" s="30">
        <f>13050</f>
        <v>13050</v>
      </c>
      <c r="U375" s="30" t="str">
        <f>"－"</f>
        <v>－</v>
      </c>
      <c r="V375" s="30">
        <f>14713953</f>
        <v>14713953</v>
      </c>
      <c r="W375" s="30" t="str">
        <f>"－"</f>
        <v>－</v>
      </c>
      <c r="X375" s="34">
        <f>20</f>
        <v>20</v>
      </c>
    </row>
    <row r="376" spans="1:24">
      <c r="A376" s="25" t="s">
        <v>1237</v>
      </c>
      <c r="B376" s="25" t="s">
        <v>861</v>
      </c>
      <c r="C376" s="25" t="s">
        <v>862</v>
      </c>
      <c r="D376" s="25" t="s">
        <v>863</v>
      </c>
      <c r="E376" s="26" t="s">
        <v>43</v>
      </c>
      <c r="F376" s="27" t="s">
        <v>43</v>
      </c>
      <c r="G376" s="28" t="s">
        <v>43</v>
      </c>
      <c r="H376" s="29"/>
      <c r="I376" s="29" t="s">
        <v>44</v>
      </c>
      <c r="J376" s="30">
        <v>1</v>
      </c>
      <c r="K376" s="31">
        <f>1074</f>
        <v>1074</v>
      </c>
      <c r="L376" s="32" t="s">
        <v>1110</v>
      </c>
      <c r="M376" s="31">
        <f>1136</f>
        <v>1136</v>
      </c>
      <c r="N376" s="32" t="s">
        <v>875</v>
      </c>
      <c r="O376" s="31">
        <f>1071</f>
        <v>1071</v>
      </c>
      <c r="P376" s="32" t="s">
        <v>1110</v>
      </c>
      <c r="Q376" s="31">
        <f>1091</f>
        <v>1091</v>
      </c>
      <c r="R376" s="32" t="s">
        <v>883</v>
      </c>
      <c r="S376" s="33">
        <f>1112.65</f>
        <v>1112.6500000000001</v>
      </c>
      <c r="T376" s="30">
        <f>824993</f>
        <v>824993</v>
      </c>
      <c r="U376" s="30">
        <f>220008</f>
        <v>220008</v>
      </c>
      <c r="V376" s="30">
        <f>914101324</f>
        <v>914101324</v>
      </c>
      <c r="W376" s="30">
        <f>245700952</f>
        <v>245700952</v>
      </c>
      <c r="X376" s="34">
        <f>20</f>
        <v>20</v>
      </c>
    </row>
    <row r="377" spans="1:24">
      <c r="A377" s="25" t="s">
        <v>1237</v>
      </c>
      <c r="B377" s="25" t="s">
        <v>864</v>
      </c>
      <c r="C377" s="25" t="s">
        <v>865</v>
      </c>
      <c r="D377" s="25" t="s">
        <v>950</v>
      </c>
      <c r="E377" s="26" t="s">
        <v>43</v>
      </c>
      <c r="F377" s="27" t="s">
        <v>43</v>
      </c>
      <c r="G377" s="28" t="s">
        <v>43</v>
      </c>
      <c r="H377" s="29"/>
      <c r="I377" s="29" t="s">
        <v>44</v>
      </c>
      <c r="J377" s="30">
        <v>1</v>
      </c>
      <c r="K377" s="31">
        <f>43080</f>
        <v>43080</v>
      </c>
      <c r="L377" s="32" t="s">
        <v>1110</v>
      </c>
      <c r="M377" s="31">
        <f>48610</f>
        <v>48610</v>
      </c>
      <c r="N377" s="32" t="s">
        <v>684</v>
      </c>
      <c r="O377" s="31">
        <f>42900</f>
        <v>42900</v>
      </c>
      <c r="P377" s="32" t="s">
        <v>1110</v>
      </c>
      <c r="Q377" s="31">
        <f>46680</f>
        <v>46680</v>
      </c>
      <c r="R377" s="32" t="s">
        <v>883</v>
      </c>
      <c r="S377" s="33">
        <f>46529.5</f>
        <v>46529.5</v>
      </c>
      <c r="T377" s="30">
        <f>307002</f>
        <v>307002</v>
      </c>
      <c r="U377" s="30">
        <f>3</f>
        <v>3</v>
      </c>
      <c r="V377" s="30">
        <f>14256094500</f>
        <v>14256094500</v>
      </c>
      <c r="W377" s="30">
        <f>140240</f>
        <v>140240</v>
      </c>
      <c r="X377" s="34">
        <f>20</f>
        <v>20</v>
      </c>
    </row>
    <row r="378" spans="1:24">
      <c r="A378" s="25" t="s">
        <v>1237</v>
      </c>
      <c r="B378" s="25" t="s">
        <v>866</v>
      </c>
      <c r="C378" s="25" t="s">
        <v>867</v>
      </c>
      <c r="D378" s="25" t="s">
        <v>951</v>
      </c>
      <c r="E378" s="26" t="s">
        <v>43</v>
      </c>
      <c r="F378" s="27" t="s">
        <v>43</v>
      </c>
      <c r="G378" s="28" t="s">
        <v>43</v>
      </c>
      <c r="H378" s="29"/>
      <c r="I378" s="29" t="s">
        <v>44</v>
      </c>
      <c r="J378" s="30">
        <v>1</v>
      </c>
      <c r="K378" s="31">
        <f>19600</f>
        <v>19600</v>
      </c>
      <c r="L378" s="32" t="s">
        <v>1110</v>
      </c>
      <c r="M378" s="31">
        <f>19670</f>
        <v>19670</v>
      </c>
      <c r="N378" s="32" t="s">
        <v>1110</v>
      </c>
      <c r="O378" s="31">
        <f>17295</f>
        <v>17295</v>
      </c>
      <c r="P378" s="32" t="s">
        <v>684</v>
      </c>
      <c r="Q378" s="31">
        <f>17910</f>
        <v>17910</v>
      </c>
      <c r="R378" s="32" t="s">
        <v>883</v>
      </c>
      <c r="S378" s="33">
        <f>18125</f>
        <v>18125</v>
      </c>
      <c r="T378" s="30">
        <f>280810</f>
        <v>280810</v>
      </c>
      <c r="U378" s="30">
        <f>77</f>
        <v>77</v>
      </c>
      <c r="V378" s="30">
        <f>5110745945</f>
        <v>5110745945</v>
      </c>
      <c r="W378" s="30">
        <f>1382855</f>
        <v>1382855</v>
      </c>
      <c r="X378" s="34">
        <f>20</f>
        <v>20</v>
      </c>
    </row>
  </sheetData>
  <mergeCells count="3">
    <mergeCell ref="N1:X3"/>
    <mergeCell ref="A2:M2"/>
    <mergeCell ref="A3:M3"/>
  </mergeCells>
  <phoneticPr fontId="3"/>
  <conditionalFormatting sqref="B1:B1048576">
    <cfRule type="duplicateValues" dxfId="3" priority="2"/>
  </conditionalFormatting>
  <conditionalFormatting sqref="B7:B378">
    <cfRule type="duplicateValues" dxfId="2" priority="3"/>
  </conditionalFormatting>
  <conditionalFormatting sqref="C7:C378">
    <cfRule type="duplicateValues" dxfId="1" priority="1"/>
  </conditionalFormatting>
  <printOptions horizontalCentered="1"/>
  <pageMargins left="0.39370078740157483" right="0.39370078740157483" top="0.39370078740157483" bottom="0.59055118110236227" header="0.27559055118110237" footer="0.27559055118110237"/>
  <pageSetup paperSize="9" scale="38" fitToHeight="0" orientation="landscape" r:id="rId1"/>
  <headerFooter>
    <oddFooter>&amp;C&amp;P/&amp;N&amp;RCopyright (c) Tokyo Stock Exchange,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18951-0AC2-45EC-B683-78325B5A77CF}">
  <sheetPr>
    <pageSetUpPr fitToPage="1"/>
  </sheetPr>
  <dimension ref="A1:X377"/>
  <sheetViews>
    <sheetView showGridLines="0" view="pageBreakPreview" zoomScaleNormal="70" zoomScaleSheetLayoutView="100" workbookViewId="0">
      <pane ySplit="6" topLeftCell="A7" activePane="bottomLeft" state="frozen"/>
      <selection pane="bottomLeft" activeCell="B1" sqref="B1:B1048576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1232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2823</f>
        <v>2823</v>
      </c>
      <c r="L7" s="32" t="s">
        <v>1110</v>
      </c>
      <c r="M7" s="31">
        <f>2923.5</f>
        <v>2923.5</v>
      </c>
      <c r="N7" s="32" t="s">
        <v>777</v>
      </c>
      <c r="O7" s="31">
        <f>2758</f>
        <v>2758</v>
      </c>
      <c r="P7" s="32" t="s">
        <v>1114</v>
      </c>
      <c r="Q7" s="31">
        <f>2841</f>
        <v>2841</v>
      </c>
      <c r="R7" s="32" t="s">
        <v>681</v>
      </c>
      <c r="S7" s="33">
        <f>2845.43</f>
        <v>2845.43</v>
      </c>
      <c r="T7" s="30">
        <f>18208440</f>
        <v>18208440</v>
      </c>
      <c r="U7" s="30">
        <f>11693270</f>
        <v>11693270</v>
      </c>
      <c r="V7" s="30">
        <f>51858006263</f>
        <v>51858006263</v>
      </c>
      <c r="W7" s="30">
        <f>33433668323</f>
        <v>33433668323</v>
      </c>
      <c r="X7" s="34">
        <f>22</f>
        <v>22</v>
      </c>
    </row>
    <row r="8" spans="1:24">
      <c r="A8" s="25" t="s">
        <v>1232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2790</f>
        <v>2790</v>
      </c>
      <c r="L8" s="32" t="s">
        <v>1110</v>
      </c>
      <c r="M8" s="31">
        <f>2885.5</f>
        <v>2885.5</v>
      </c>
      <c r="N8" s="32" t="s">
        <v>1115</v>
      </c>
      <c r="O8" s="31">
        <f>2729.5</f>
        <v>2729.5</v>
      </c>
      <c r="P8" s="32" t="s">
        <v>679</v>
      </c>
      <c r="Q8" s="31">
        <f>2818</f>
        <v>2818</v>
      </c>
      <c r="R8" s="32" t="s">
        <v>681</v>
      </c>
      <c r="S8" s="33">
        <f>2812.39</f>
        <v>2812.39</v>
      </c>
      <c r="T8" s="30">
        <f>48684140</f>
        <v>48684140</v>
      </c>
      <c r="U8" s="30">
        <f>11044630</f>
        <v>11044630</v>
      </c>
      <c r="V8" s="30">
        <f>136851627041</f>
        <v>136851627041</v>
      </c>
      <c r="W8" s="30">
        <f>31054363891</f>
        <v>31054363891</v>
      </c>
      <c r="X8" s="34">
        <f>22</f>
        <v>22</v>
      </c>
    </row>
    <row r="9" spans="1:24">
      <c r="A9" s="25" t="s">
        <v>1232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2760</f>
        <v>2760</v>
      </c>
      <c r="L9" s="32" t="s">
        <v>1110</v>
      </c>
      <c r="M9" s="31">
        <f>2850</f>
        <v>2850</v>
      </c>
      <c r="N9" s="32" t="s">
        <v>1115</v>
      </c>
      <c r="O9" s="31">
        <f>2698</f>
        <v>2698</v>
      </c>
      <c r="P9" s="32" t="s">
        <v>683</v>
      </c>
      <c r="Q9" s="31">
        <f>2787</f>
        <v>2787</v>
      </c>
      <c r="R9" s="32" t="s">
        <v>681</v>
      </c>
      <c r="S9" s="33">
        <f>2778.68</f>
        <v>2778.68</v>
      </c>
      <c r="T9" s="30">
        <f>8307981</f>
        <v>8307981</v>
      </c>
      <c r="U9" s="30">
        <f>5306362</f>
        <v>5306362</v>
      </c>
      <c r="V9" s="30">
        <f>23071011848</f>
        <v>23071011848</v>
      </c>
      <c r="W9" s="30">
        <f>14711967673</f>
        <v>14711967673</v>
      </c>
      <c r="X9" s="34">
        <f>22</f>
        <v>22</v>
      </c>
    </row>
    <row r="10" spans="1:24">
      <c r="A10" s="25" t="s">
        <v>1232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45500</f>
        <v>45500</v>
      </c>
      <c r="L10" s="32" t="s">
        <v>1110</v>
      </c>
      <c r="M10" s="31">
        <f>77220</f>
        <v>77220</v>
      </c>
      <c r="N10" s="32" t="s">
        <v>1145</v>
      </c>
      <c r="O10" s="31">
        <f>43000</f>
        <v>43000</v>
      </c>
      <c r="P10" s="32" t="s">
        <v>760</v>
      </c>
      <c r="Q10" s="31">
        <f>44800</f>
        <v>44800</v>
      </c>
      <c r="R10" s="32" t="s">
        <v>681</v>
      </c>
      <c r="S10" s="33">
        <f>49763.18</f>
        <v>49763.18</v>
      </c>
      <c r="T10" s="30">
        <f>58437</f>
        <v>58437</v>
      </c>
      <c r="U10" s="30" t="str">
        <f>"－"</f>
        <v>－</v>
      </c>
      <c r="V10" s="30">
        <f>3492999600</f>
        <v>3492999600</v>
      </c>
      <c r="W10" s="30" t="str">
        <f>"－"</f>
        <v>－</v>
      </c>
      <c r="X10" s="34">
        <f>22</f>
        <v>22</v>
      </c>
    </row>
    <row r="11" spans="1:24">
      <c r="A11" s="25" t="s">
        <v>1232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1376.5</f>
        <v>1376.5</v>
      </c>
      <c r="L11" s="32" t="s">
        <v>1110</v>
      </c>
      <c r="M11" s="31">
        <f>1430</f>
        <v>1430</v>
      </c>
      <c r="N11" s="32" t="s">
        <v>1115</v>
      </c>
      <c r="O11" s="31">
        <f>1357</f>
        <v>1357</v>
      </c>
      <c r="P11" s="32" t="s">
        <v>683</v>
      </c>
      <c r="Q11" s="31">
        <f>1405</f>
        <v>1405</v>
      </c>
      <c r="R11" s="32" t="s">
        <v>681</v>
      </c>
      <c r="S11" s="33">
        <f>1392.11</f>
        <v>1392.11</v>
      </c>
      <c r="T11" s="30">
        <f>195060</f>
        <v>195060</v>
      </c>
      <c r="U11" s="30">
        <f>690</f>
        <v>690</v>
      </c>
      <c r="V11" s="30">
        <f>272084130</f>
        <v>272084130</v>
      </c>
      <c r="W11" s="30">
        <f>963550</f>
        <v>963550</v>
      </c>
      <c r="X11" s="34">
        <f>22</f>
        <v>22</v>
      </c>
    </row>
    <row r="12" spans="1:24">
      <c r="A12" s="25" t="s">
        <v>1232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480</f>
        <v>480</v>
      </c>
      <c r="L12" s="32" t="s">
        <v>1110</v>
      </c>
      <c r="M12" s="31">
        <f>540</f>
        <v>540</v>
      </c>
      <c r="N12" s="32" t="s">
        <v>681</v>
      </c>
      <c r="O12" s="31">
        <f>472</f>
        <v>472</v>
      </c>
      <c r="P12" s="32" t="s">
        <v>1116</v>
      </c>
      <c r="Q12" s="31">
        <f>540</f>
        <v>540</v>
      </c>
      <c r="R12" s="32" t="s">
        <v>681</v>
      </c>
      <c r="S12" s="33">
        <f>494.51</f>
        <v>494.51</v>
      </c>
      <c r="T12" s="30">
        <f>901000</f>
        <v>901000</v>
      </c>
      <c r="U12" s="30" t="str">
        <f>"－"</f>
        <v>－</v>
      </c>
      <c r="V12" s="30">
        <f>468582300</f>
        <v>468582300</v>
      </c>
      <c r="W12" s="30" t="str">
        <f>"－"</f>
        <v>－</v>
      </c>
      <c r="X12" s="34">
        <f>18</f>
        <v>18</v>
      </c>
    </row>
    <row r="13" spans="1:24">
      <c r="A13" s="25" t="s">
        <v>1232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39590</f>
        <v>39590</v>
      </c>
      <c r="L13" s="32" t="s">
        <v>1110</v>
      </c>
      <c r="M13" s="31">
        <f>41620</f>
        <v>41620</v>
      </c>
      <c r="N13" s="32" t="s">
        <v>875</v>
      </c>
      <c r="O13" s="31">
        <f>38940</f>
        <v>38940</v>
      </c>
      <c r="P13" s="32" t="s">
        <v>1116</v>
      </c>
      <c r="Q13" s="31">
        <f>40380</f>
        <v>40380</v>
      </c>
      <c r="R13" s="32" t="s">
        <v>681</v>
      </c>
      <c r="S13" s="33">
        <f>40142.73</f>
        <v>40142.730000000003</v>
      </c>
      <c r="T13" s="30">
        <f>1566721</f>
        <v>1566721</v>
      </c>
      <c r="U13" s="30">
        <f>713330</f>
        <v>713330</v>
      </c>
      <c r="V13" s="30">
        <f>63014567947</f>
        <v>63014567947</v>
      </c>
      <c r="W13" s="30">
        <f>28669873747</f>
        <v>28669873747</v>
      </c>
      <c r="X13" s="34">
        <f>22</f>
        <v>22</v>
      </c>
    </row>
    <row r="14" spans="1:24">
      <c r="A14" s="25" t="s">
        <v>1232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39720</f>
        <v>39720</v>
      </c>
      <c r="L14" s="32" t="s">
        <v>1110</v>
      </c>
      <c r="M14" s="31">
        <f>41770</f>
        <v>41770</v>
      </c>
      <c r="N14" s="32" t="s">
        <v>875</v>
      </c>
      <c r="O14" s="31">
        <f>39070</f>
        <v>39070</v>
      </c>
      <c r="P14" s="32" t="s">
        <v>1116</v>
      </c>
      <c r="Q14" s="31">
        <f>40530</f>
        <v>40530</v>
      </c>
      <c r="R14" s="32" t="s">
        <v>681</v>
      </c>
      <c r="S14" s="33">
        <f>40285</f>
        <v>40285</v>
      </c>
      <c r="T14" s="30">
        <f>8411793</f>
        <v>8411793</v>
      </c>
      <c r="U14" s="30">
        <f>1512984</f>
        <v>1512984</v>
      </c>
      <c r="V14" s="30">
        <f>339309665496</f>
        <v>339309665496</v>
      </c>
      <c r="W14" s="30">
        <f>61298658266</f>
        <v>61298658266</v>
      </c>
      <c r="X14" s="34">
        <f>22</f>
        <v>22</v>
      </c>
    </row>
    <row r="15" spans="1:24">
      <c r="A15" s="25" t="s">
        <v>1232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9390</f>
        <v>9390</v>
      </c>
      <c r="L15" s="32" t="s">
        <v>1110</v>
      </c>
      <c r="M15" s="31">
        <f>16500</f>
        <v>16500</v>
      </c>
      <c r="N15" s="32" t="s">
        <v>675</v>
      </c>
      <c r="O15" s="31">
        <f>8208</f>
        <v>8208</v>
      </c>
      <c r="P15" s="32" t="s">
        <v>678</v>
      </c>
      <c r="Q15" s="31">
        <f>8754</f>
        <v>8754</v>
      </c>
      <c r="R15" s="32" t="s">
        <v>681</v>
      </c>
      <c r="S15" s="33">
        <f>9309</f>
        <v>9309</v>
      </c>
      <c r="T15" s="30">
        <f>385400</f>
        <v>385400</v>
      </c>
      <c r="U15" s="30" t="str">
        <f>"－"</f>
        <v>－</v>
      </c>
      <c r="V15" s="30">
        <f>4283414080</f>
        <v>4283414080</v>
      </c>
      <c r="W15" s="30" t="str">
        <f>"－"</f>
        <v>－</v>
      </c>
      <c r="X15" s="34">
        <f>22</f>
        <v>22</v>
      </c>
    </row>
    <row r="16" spans="1:24">
      <c r="A16" s="25" t="s">
        <v>1232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 t="s">
        <v>240</v>
      </c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1232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208</f>
        <v>208</v>
      </c>
      <c r="L17" s="32" t="s">
        <v>1110</v>
      </c>
      <c r="M17" s="31">
        <f>216.4</f>
        <v>216.4</v>
      </c>
      <c r="N17" s="32" t="s">
        <v>1115</v>
      </c>
      <c r="O17" s="31">
        <f>203</f>
        <v>203</v>
      </c>
      <c r="P17" s="32" t="s">
        <v>874</v>
      </c>
      <c r="Q17" s="31">
        <f>207</f>
        <v>207</v>
      </c>
      <c r="R17" s="32" t="s">
        <v>681</v>
      </c>
      <c r="S17" s="33">
        <f>208.25</f>
        <v>208.25</v>
      </c>
      <c r="T17" s="30">
        <f>500900</f>
        <v>500900</v>
      </c>
      <c r="U17" s="30">
        <f>3500</f>
        <v>3500</v>
      </c>
      <c r="V17" s="30">
        <f>104599690</f>
        <v>104599690</v>
      </c>
      <c r="W17" s="30">
        <f>734690</f>
        <v>734690</v>
      </c>
      <c r="X17" s="34">
        <f>22</f>
        <v>22</v>
      </c>
    </row>
    <row r="18" spans="1:24">
      <c r="A18" s="25" t="s">
        <v>1232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35030</f>
        <v>35030</v>
      </c>
      <c r="L18" s="32" t="s">
        <v>1110</v>
      </c>
      <c r="M18" s="31">
        <f>39610</f>
        <v>39610</v>
      </c>
      <c r="N18" s="32" t="s">
        <v>681</v>
      </c>
      <c r="O18" s="31">
        <f>35010</f>
        <v>35010</v>
      </c>
      <c r="P18" s="32" t="s">
        <v>1110</v>
      </c>
      <c r="Q18" s="31">
        <f>39430</f>
        <v>39430</v>
      </c>
      <c r="R18" s="32" t="s">
        <v>681</v>
      </c>
      <c r="S18" s="33">
        <f>37227.27</f>
        <v>37227.269999999997</v>
      </c>
      <c r="T18" s="30">
        <f>239402</f>
        <v>239402</v>
      </c>
      <c r="U18" s="30">
        <f>620</f>
        <v>620</v>
      </c>
      <c r="V18" s="30">
        <f>8937580659</f>
        <v>8937580659</v>
      </c>
      <c r="W18" s="30">
        <f>21928089</f>
        <v>21928089</v>
      </c>
      <c r="X18" s="34">
        <f>22</f>
        <v>22</v>
      </c>
    </row>
    <row r="19" spans="1:24">
      <c r="A19" s="25" t="s">
        <v>1232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9224</f>
        <v>9224</v>
      </c>
      <c r="L19" s="32" t="s">
        <v>1110</v>
      </c>
      <c r="M19" s="31">
        <f>10425</f>
        <v>10425</v>
      </c>
      <c r="N19" s="32" t="s">
        <v>681</v>
      </c>
      <c r="O19" s="31">
        <f>9215</f>
        <v>9215</v>
      </c>
      <c r="P19" s="32" t="s">
        <v>1110</v>
      </c>
      <c r="Q19" s="31">
        <f>10360</f>
        <v>10360</v>
      </c>
      <c r="R19" s="32" t="s">
        <v>681</v>
      </c>
      <c r="S19" s="33">
        <f>9793.82</f>
        <v>9793.82</v>
      </c>
      <c r="T19" s="30">
        <f>458940</f>
        <v>458940</v>
      </c>
      <c r="U19" s="30">
        <f>1150</f>
        <v>1150</v>
      </c>
      <c r="V19" s="30">
        <f>4544394085</f>
        <v>4544394085</v>
      </c>
      <c r="W19" s="30">
        <f>11026455</f>
        <v>11026455</v>
      </c>
      <c r="X19" s="34">
        <f>22</f>
        <v>22</v>
      </c>
    </row>
    <row r="20" spans="1:24">
      <c r="A20" s="25" t="s">
        <v>1232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39830</f>
        <v>39830</v>
      </c>
      <c r="L20" s="32" t="s">
        <v>1110</v>
      </c>
      <c r="M20" s="31">
        <f>41860</f>
        <v>41860</v>
      </c>
      <c r="N20" s="32" t="s">
        <v>875</v>
      </c>
      <c r="O20" s="31">
        <f>39160</f>
        <v>39160</v>
      </c>
      <c r="P20" s="32" t="s">
        <v>1116</v>
      </c>
      <c r="Q20" s="31">
        <f>40700</f>
        <v>40700</v>
      </c>
      <c r="R20" s="32" t="s">
        <v>681</v>
      </c>
      <c r="S20" s="33">
        <f>40407.73</f>
        <v>40407.730000000003</v>
      </c>
      <c r="T20" s="30">
        <f>1290299</f>
        <v>1290299</v>
      </c>
      <c r="U20" s="30">
        <f>263159</f>
        <v>263159</v>
      </c>
      <c r="V20" s="30">
        <f>52122430058</f>
        <v>52122430058</v>
      </c>
      <c r="W20" s="30">
        <f>10613682208</f>
        <v>10613682208</v>
      </c>
      <c r="X20" s="34">
        <f>22</f>
        <v>22</v>
      </c>
    </row>
    <row r="21" spans="1:24">
      <c r="A21" s="25" t="s">
        <v>1232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39760</f>
        <v>39760</v>
      </c>
      <c r="L21" s="32" t="s">
        <v>1110</v>
      </c>
      <c r="M21" s="31">
        <f>41790</f>
        <v>41790</v>
      </c>
      <c r="N21" s="32" t="s">
        <v>875</v>
      </c>
      <c r="O21" s="31">
        <f>39100</f>
        <v>39100</v>
      </c>
      <c r="P21" s="32" t="s">
        <v>1116</v>
      </c>
      <c r="Q21" s="31">
        <f>40620</f>
        <v>40620</v>
      </c>
      <c r="R21" s="32" t="s">
        <v>681</v>
      </c>
      <c r="S21" s="33">
        <f>40320.45</f>
        <v>40320.449999999997</v>
      </c>
      <c r="T21" s="30">
        <f>2184784</f>
        <v>2184784</v>
      </c>
      <c r="U21" s="30">
        <f>1373504</f>
        <v>1373504</v>
      </c>
      <c r="V21" s="30">
        <f>87923890553</f>
        <v>87923890553</v>
      </c>
      <c r="W21" s="30">
        <f>55235416993</f>
        <v>55235416993</v>
      </c>
      <c r="X21" s="34">
        <f>22</f>
        <v>22</v>
      </c>
    </row>
    <row r="22" spans="1:24">
      <c r="A22" s="25" t="s">
        <v>1232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971</f>
        <v>971</v>
      </c>
      <c r="L22" s="32" t="s">
        <v>1110</v>
      </c>
      <c r="M22" s="31">
        <f>1046</f>
        <v>1046</v>
      </c>
      <c r="N22" s="32" t="s">
        <v>1114</v>
      </c>
      <c r="O22" s="31">
        <f>971</f>
        <v>971</v>
      </c>
      <c r="P22" s="32" t="s">
        <v>1110</v>
      </c>
      <c r="Q22" s="31">
        <f>1040</f>
        <v>1040</v>
      </c>
      <c r="R22" s="32" t="s">
        <v>681</v>
      </c>
      <c r="S22" s="33">
        <f>1016.36</f>
        <v>1016.36</v>
      </c>
      <c r="T22" s="30">
        <f>10264132</f>
        <v>10264132</v>
      </c>
      <c r="U22" s="30">
        <f>8830006</f>
        <v>8830006</v>
      </c>
      <c r="V22" s="30">
        <f>10465564443</f>
        <v>10465564443</v>
      </c>
      <c r="W22" s="30">
        <f>9001355971</f>
        <v>9001355971</v>
      </c>
      <c r="X22" s="34">
        <f>22</f>
        <v>22</v>
      </c>
    </row>
    <row r="23" spans="1:24">
      <c r="A23" s="25" t="s">
        <v>1232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1873.5</f>
        <v>1873.5</v>
      </c>
      <c r="L23" s="32" t="s">
        <v>1110</v>
      </c>
      <c r="M23" s="31">
        <f>1874</f>
        <v>1874</v>
      </c>
      <c r="N23" s="32" t="s">
        <v>1110</v>
      </c>
      <c r="O23" s="31">
        <f>1814.5</f>
        <v>1814.5</v>
      </c>
      <c r="P23" s="32" t="s">
        <v>1114</v>
      </c>
      <c r="Q23" s="31">
        <f>1825.5</f>
        <v>1825.5</v>
      </c>
      <c r="R23" s="32" t="s">
        <v>681</v>
      </c>
      <c r="S23" s="33">
        <f>1839.18</f>
        <v>1839.18</v>
      </c>
      <c r="T23" s="30">
        <f>17376150</f>
        <v>17376150</v>
      </c>
      <c r="U23" s="30">
        <f>6889720</f>
        <v>6889720</v>
      </c>
      <c r="V23" s="30">
        <f>31908216374</f>
        <v>31908216374</v>
      </c>
      <c r="W23" s="30">
        <f>12639460794</f>
        <v>12639460794</v>
      </c>
      <c r="X23" s="34">
        <f>22</f>
        <v>22</v>
      </c>
    </row>
    <row r="24" spans="1:24">
      <c r="A24" s="25" t="s">
        <v>1232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1760</f>
        <v>1760</v>
      </c>
      <c r="L24" s="32" t="s">
        <v>1110</v>
      </c>
      <c r="M24" s="31">
        <f>1760</f>
        <v>1760</v>
      </c>
      <c r="N24" s="32" t="s">
        <v>1110</v>
      </c>
      <c r="O24" s="31">
        <f>1700</f>
        <v>1700</v>
      </c>
      <c r="P24" s="32" t="s">
        <v>1114</v>
      </c>
      <c r="Q24" s="31">
        <f>1712.5</f>
        <v>1712.5</v>
      </c>
      <c r="R24" s="32" t="s">
        <v>681</v>
      </c>
      <c r="S24" s="33">
        <f>1722.41</f>
        <v>1722.41</v>
      </c>
      <c r="T24" s="30">
        <f>2123600</f>
        <v>2123600</v>
      </c>
      <c r="U24" s="30">
        <f>1523800</f>
        <v>1523800</v>
      </c>
      <c r="V24" s="30">
        <f>3675084312</f>
        <v>3675084312</v>
      </c>
      <c r="W24" s="30">
        <f>2640818912</f>
        <v>2640818912</v>
      </c>
      <c r="X24" s="34">
        <f>22</f>
        <v>22</v>
      </c>
    </row>
    <row r="25" spans="1:24">
      <c r="A25" s="25" t="s">
        <v>1232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39750</f>
        <v>39750</v>
      </c>
      <c r="L25" s="32" t="s">
        <v>1110</v>
      </c>
      <c r="M25" s="31">
        <f>41820</f>
        <v>41820</v>
      </c>
      <c r="N25" s="32" t="s">
        <v>875</v>
      </c>
      <c r="O25" s="31">
        <f>39120</f>
        <v>39120</v>
      </c>
      <c r="P25" s="32" t="s">
        <v>1116</v>
      </c>
      <c r="Q25" s="31">
        <f>40640</f>
        <v>40640</v>
      </c>
      <c r="R25" s="32" t="s">
        <v>681</v>
      </c>
      <c r="S25" s="33">
        <f>40343.64</f>
        <v>40343.64</v>
      </c>
      <c r="T25" s="30">
        <f>1661308</f>
        <v>1661308</v>
      </c>
      <c r="U25" s="30">
        <f>851000</f>
        <v>851000</v>
      </c>
      <c r="V25" s="30">
        <f>67337426356</f>
        <v>67337426356</v>
      </c>
      <c r="W25" s="30">
        <f>34506300916</f>
        <v>34506300916</v>
      </c>
      <c r="X25" s="34">
        <f>22</f>
        <v>22</v>
      </c>
    </row>
    <row r="26" spans="1:24">
      <c r="A26" s="25" t="s">
        <v>1232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2780</f>
        <v>2780</v>
      </c>
      <c r="L26" s="32" t="s">
        <v>1110</v>
      </c>
      <c r="M26" s="31">
        <f>2875</f>
        <v>2875</v>
      </c>
      <c r="N26" s="32" t="s">
        <v>1115</v>
      </c>
      <c r="O26" s="31">
        <f>2722</f>
        <v>2722</v>
      </c>
      <c r="P26" s="32" t="s">
        <v>679</v>
      </c>
      <c r="Q26" s="31">
        <f>2813.5</f>
        <v>2813.5</v>
      </c>
      <c r="R26" s="32" t="s">
        <v>681</v>
      </c>
      <c r="S26" s="33">
        <f>2804.75</f>
        <v>2804.75</v>
      </c>
      <c r="T26" s="30">
        <f>9723070</f>
        <v>9723070</v>
      </c>
      <c r="U26" s="30">
        <f>4003580</f>
        <v>4003580</v>
      </c>
      <c r="V26" s="30">
        <f>27194491690</f>
        <v>27194491690</v>
      </c>
      <c r="W26" s="30">
        <f>11235277380</f>
        <v>11235277380</v>
      </c>
      <c r="X26" s="34">
        <f>22</f>
        <v>22</v>
      </c>
    </row>
    <row r="27" spans="1:24">
      <c r="A27" s="25" t="s">
        <v>1232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16315</f>
        <v>16315</v>
      </c>
      <c r="L27" s="32" t="s">
        <v>1110</v>
      </c>
      <c r="M27" s="31">
        <f>16950</f>
        <v>16950</v>
      </c>
      <c r="N27" s="32" t="s">
        <v>679</v>
      </c>
      <c r="O27" s="31">
        <f>16315</f>
        <v>16315</v>
      </c>
      <c r="P27" s="32" t="s">
        <v>1110</v>
      </c>
      <c r="Q27" s="31">
        <f>16765</f>
        <v>16765</v>
      </c>
      <c r="R27" s="32" t="s">
        <v>681</v>
      </c>
      <c r="S27" s="33">
        <f>16676.25</f>
        <v>16676.25</v>
      </c>
      <c r="T27" s="30">
        <f>1218</f>
        <v>1218</v>
      </c>
      <c r="U27" s="30" t="str">
        <f>"－"</f>
        <v>－</v>
      </c>
      <c r="V27" s="30">
        <f>20393345</f>
        <v>20393345</v>
      </c>
      <c r="W27" s="30" t="str">
        <f>"－"</f>
        <v>－</v>
      </c>
      <c r="X27" s="34">
        <f>20</f>
        <v>20</v>
      </c>
    </row>
    <row r="28" spans="1:24">
      <c r="A28" s="25" t="s">
        <v>1232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342.1</f>
        <v>342.1</v>
      </c>
      <c r="L28" s="32" t="s">
        <v>1110</v>
      </c>
      <c r="M28" s="31">
        <f>356</f>
        <v>356</v>
      </c>
      <c r="N28" s="32" t="s">
        <v>679</v>
      </c>
      <c r="O28" s="31">
        <f>319.1</f>
        <v>319.10000000000002</v>
      </c>
      <c r="P28" s="32" t="s">
        <v>1115</v>
      </c>
      <c r="Q28" s="31">
        <f>333</f>
        <v>333</v>
      </c>
      <c r="R28" s="32" t="s">
        <v>681</v>
      </c>
      <c r="S28" s="33">
        <f>335.87</f>
        <v>335.87</v>
      </c>
      <c r="T28" s="30">
        <f>54108920</f>
        <v>54108920</v>
      </c>
      <c r="U28" s="30">
        <f>3590</f>
        <v>3590</v>
      </c>
      <c r="V28" s="30">
        <f>18157692771</f>
        <v>18157692771</v>
      </c>
      <c r="W28" s="30">
        <f>1226247</f>
        <v>1226247</v>
      </c>
      <c r="X28" s="34">
        <f>22</f>
        <v>22</v>
      </c>
    </row>
    <row r="29" spans="1:24">
      <c r="A29" s="25" t="s">
        <v>1232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127</f>
        <v>127</v>
      </c>
      <c r="L29" s="32" t="s">
        <v>1110</v>
      </c>
      <c r="M29" s="31">
        <f>132</f>
        <v>132</v>
      </c>
      <c r="N29" s="32" t="s">
        <v>1116</v>
      </c>
      <c r="O29" s="31">
        <f>114</f>
        <v>114</v>
      </c>
      <c r="P29" s="32" t="s">
        <v>875</v>
      </c>
      <c r="Q29" s="31">
        <f>121</f>
        <v>121</v>
      </c>
      <c r="R29" s="32" t="s">
        <v>681</v>
      </c>
      <c r="S29" s="33">
        <f>122.82</f>
        <v>122.82</v>
      </c>
      <c r="T29" s="30">
        <f>982517275</f>
        <v>982517275</v>
      </c>
      <c r="U29" s="30">
        <f>29940896</f>
        <v>29940896</v>
      </c>
      <c r="V29" s="30">
        <f>120870844960</f>
        <v>120870844960</v>
      </c>
      <c r="W29" s="30">
        <f>3684208350</f>
        <v>3684208350</v>
      </c>
      <c r="X29" s="34">
        <f>22</f>
        <v>22</v>
      </c>
    </row>
    <row r="30" spans="1:24">
      <c r="A30" s="25" t="s">
        <v>1232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49070</f>
        <v>49070</v>
      </c>
      <c r="L30" s="32" t="s">
        <v>1110</v>
      </c>
      <c r="M30" s="31">
        <f>54300</f>
        <v>54300</v>
      </c>
      <c r="N30" s="32" t="s">
        <v>875</v>
      </c>
      <c r="O30" s="31">
        <f>47510</f>
        <v>47510</v>
      </c>
      <c r="P30" s="32" t="s">
        <v>1116</v>
      </c>
      <c r="Q30" s="31">
        <f>51010</f>
        <v>51010</v>
      </c>
      <c r="R30" s="32" t="s">
        <v>681</v>
      </c>
      <c r="S30" s="33">
        <f>50469.55</f>
        <v>50469.55</v>
      </c>
      <c r="T30" s="30">
        <f>369649</f>
        <v>369649</v>
      </c>
      <c r="U30" s="30">
        <f>1</f>
        <v>1</v>
      </c>
      <c r="V30" s="30">
        <f>18671025120</f>
        <v>18671025120</v>
      </c>
      <c r="W30" s="30">
        <f>50200</f>
        <v>50200</v>
      </c>
      <c r="X30" s="34">
        <f>22</f>
        <v>22</v>
      </c>
    </row>
    <row r="31" spans="1:24">
      <c r="A31" s="25" t="s">
        <v>1232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312.6</f>
        <v>312.60000000000002</v>
      </c>
      <c r="L31" s="32" t="s">
        <v>1110</v>
      </c>
      <c r="M31" s="31">
        <f>322.3</f>
        <v>322.3</v>
      </c>
      <c r="N31" s="32" t="s">
        <v>1116</v>
      </c>
      <c r="O31" s="31">
        <f>280.6</f>
        <v>280.60000000000002</v>
      </c>
      <c r="P31" s="32" t="s">
        <v>875</v>
      </c>
      <c r="Q31" s="31">
        <f>296.5</f>
        <v>296.5</v>
      </c>
      <c r="R31" s="32" t="s">
        <v>681</v>
      </c>
      <c r="S31" s="33">
        <f>301.47</f>
        <v>301.47000000000003</v>
      </c>
      <c r="T31" s="30">
        <f>1035550600</f>
        <v>1035550600</v>
      </c>
      <c r="U31" s="30">
        <f>9922500</f>
        <v>9922500</v>
      </c>
      <c r="V31" s="30">
        <f>312477126090</f>
        <v>312477126090</v>
      </c>
      <c r="W31" s="30">
        <f>3000753370</f>
        <v>3000753370</v>
      </c>
      <c r="X31" s="34">
        <f>22</f>
        <v>22</v>
      </c>
    </row>
    <row r="32" spans="1:24">
      <c r="A32" s="25" t="s">
        <v>1232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25145</f>
        <v>25145</v>
      </c>
      <c r="L32" s="32" t="s">
        <v>1110</v>
      </c>
      <c r="M32" s="31">
        <f>25885</f>
        <v>25885</v>
      </c>
      <c r="N32" s="32" t="s">
        <v>1115</v>
      </c>
      <c r="O32" s="31">
        <f>24490</f>
        <v>24490</v>
      </c>
      <c r="P32" s="32" t="s">
        <v>1114</v>
      </c>
      <c r="Q32" s="31">
        <f>25250</f>
        <v>25250</v>
      </c>
      <c r="R32" s="32" t="s">
        <v>681</v>
      </c>
      <c r="S32" s="33">
        <f>25238.41</f>
        <v>25238.41</v>
      </c>
      <c r="T32" s="30">
        <f>10820</f>
        <v>10820</v>
      </c>
      <c r="U32" s="30">
        <f>389</f>
        <v>389</v>
      </c>
      <c r="V32" s="30">
        <f>272825620</f>
        <v>272825620</v>
      </c>
      <c r="W32" s="30">
        <f>9969175</f>
        <v>9969175</v>
      </c>
      <c r="X32" s="34">
        <f>22</f>
        <v>22</v>
      </c>
    </row>
    <row r="33" spans="1:24">
      <c r="A33" s="25" t="s">
        <v>1232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40310</f>
        <v>40310</v>
      </c>
      <c r="L33" s="32" t="s">
        <v>1110</v>
      </c>
      <c r="M33" s="31">
        <f>44470</f>
        <v>44470</v>
      </c>
      <c r="N33" s="32" t="s">
        <v>875</v>
      </c>
      <c r="O33" s="31">
        <f>38960</f>
        <v>38960</v>
      </c>
      <c r="P33" s="32" t="s">
        <v>679</v>
      </c>
      <c r="Q33" s="31">
        <f>41800</f>
        <v>41800</v>
      </c>
      <c r="R33" s="32" t="s">
        <v>681</v>
      </c>
      <c r="S33" s="33">
        <f>41403.18</f>
        <v>41403.18</v>
      </c>
      <c r="T33" s="30">
        <f>1386913</f>
        <v>1386913</v>
      </c>
      <c r="U33" s="30">
        <f>19088</f>
        <v>19088</v>
      </c>
      <c r="V33" s="30">
        <f>57412987783</f>
        <v>57412987783</v>
      </c>
      <c r="W33" s="30">
        <f>790345333</f>
        <v>790345333</v>
      </c>
      <c r="X33" s="34">
        <f>22</f>
        <v>22</v>
      </c>
    </row>
    <row r="34" spans="1:24">
      <c r="A34" s="25" t="s">
        <v>1232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320</f>
        <v>320</v>
      </c>
      <c r="L34" s="32" t="s">
        <v>1110</v>
      </c>
      <c r="M34" s="31">
        <f>331</f>
        <v>331</v>
      </c>
      <c r="N34" s="32" t="s">
        <v>1116</v>
      </c>
      <c r="O34" s="31">
        <f>287</f>
        <v>287</v>
      </c>
      <c r="P34" s="32" t="s">
        <v>875</v>
      </c>
      <c r="Q34" s="31">
        <f>304</f>
        <v>304</v>
      </c>
      <c r="R34" s="32" t="s">
        <v>681</v>
      </c>
      <c r="S34" s="33">
        <f>309.73</f>
        <v>309.73</v>
      </c>
      <c r="T34" s="30">
        <f>43440844</f>
        <v>43440844</v>
      </c>
      <c r="U34" s="30">
        <f>758060</f>
        <v>758060</v>
      </c>
      <c r="V34" s="30">
        <f>13493365212</f>
        <v>13493365212</v>
      </c>
      <c r="W34" s="30">
        <f>234516817</f>
        <v>234516817</v>
      </c>
      <c r="X34" s="34">
        <f>22</f>
        <v>22</v>
      </c>
    </row>
    <row r="35" spans="1:24">
      <c r="A35" s="25" t="s">
        <v>1232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34480</f>
        <v>34480</v>
      </c>
      <c r="L35" s="32" t="s">
        <v>1110</v>
      </c>
      <c r="M35" s="31">
        <f>36760</f>
        <v>36760</v>
      </c>
      <c r="N35" s="32" t="s">
        <v>1115</v>
      </c>
      <c r="O35" s="31">
        <f>32870</f>
        <v>32870</v>
      </c>
      <c r="P35" s="32" t="s">
        <v>679</v>
      </c>
      <c r="Q35" s="31">
        <f>35250</f>
        <v>35250</v>
      </c>
      <c r="R35" s="32" t="s">
        <v>681</v>
      </c>
      <c r="S35" s="33">
        <f>34935.91</f>
        <v>34935.910000000003</v>
      </c>
      <c r="T35" s="30">
        <f>205269</f>
        <v>205269</v>
      </c>
      <c r="U35" s="30">
        <f>4269</f>
        <v>4269</v>
      </c>
      <c r="V35" s="30">
        <f>7197344550</f>
        <v>7197344550</v>
      </c>
      <c r="W35" s="30">
        <f>149204910</f>
        <v>149204910</v>
      </c>
      <c r="X35" s="34">
        <f>22</f>
        <v>22</v>
      </c>
    </row>
    <row r="36" spans="1:24">
      <c r="A36" s="25" t="s">
        <v>1232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493</f>
        <v>493</v>
      </c>
      <c r="L36" s="32" t="s">
        <v>1110</v>
      </c>
      <c r="M36" s="31">
        <f>514</f>
        <v>514</v>
      </c>
      <c r="N36" s="32" t="s">
        <v>679</v>
      </c>
      <c r="O36" s="31">
        <f>460</f>
        <v>460</v>
      </c>
      <c r="P36" s="32" t="s">
        <v>1115</v>
      </c>
      <c r="Q36" s="31">
        <f>480</f>
        <v>480</v>
      </c>
      <c r="R36" s="32" t="s">
        <v>681</v>
      </c>
      <c r="S36" s="33">
        <f>484.5</f>
        <v>484.5</v>
      </c>
      <c r="T36" s="30">
        <f>3325146</f>
        <v>3325146</v>
      </c>
      <c r="U36" s="30">
        <f>2579</f>
        <v>2579</v>
      </c>
      <c r="V36" s="30">
        <f>1610882960</f>
        <v>1610882960</v>
      </c>
      <c r="W36" s="30">
        <f>1259818</f>
        <v>1259818</v>
      </c>
      <c r="X36" s="34">
        <f>22</f>
        <v>22</v>
      </c>
    </row>
    <row r="37" spans="1:24">
      <c r="A37" s="25" t="s">
        <v>1232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38600</f>
        <v>38600</v>
      </c>
      <c r="L37" s="32" t="s">
        <v>1110</v>
      </c>
      <c r="M37" s="31">
        <f>40620</f>
        <v>40620</v>
      </c>
      <c r="N37" s="32" t="s">
        <v>875</v>
      </c>
      <c r="O37" s="31">
        <f>38020</f>
        <v>38020</v>
      </c>
      <c r="P37" s="32" t="s">
        <v>1116</v>
      </c>
      <c r="Q37" s="31">
        <f>39420</f>
        <v>39420</v>
      </c>
      <c r="R37" s="32" t="s">
        <v>681</v>
      </c>
      <c r="S37" s="33">
        <f>39206.36</f>
        <v>39206.36</v>
      </c>
      <c r="T37" s="30">
        <f>80815</f>
        <v>80815</v>
      </c>
      <c r="U37" s="30">
        <f>31625</f>
        <v>31625</v>
      </c>
      <c r="V37" s="30">
        <f>3188573848</f>
        <v>3188573848</v>
      </c>
      <c r="W37" s="30">
        <f>1247350128</f>
        <v>1247350128</v>
      </c>
      <c r="X37" s="34">
        <f>22</f>
        <v>22</v>
      </c>
    </row>
    <row r="38" spans="1:24">
      <c r="A38" s="25" t="s">
        <v>1232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39010</f>
        <v>39010</v>
      </c>
      <c r="L38" s="32" t="s">
        <v>1110</v>
      </c>
      <c r="M38" s="31">
        <f>40670</f>
        <v>40670</v>
      </c>
      <c r="N38" s="32" t="s">
        <v>875</v>
      </c>
      <c r="O38" s="31">
        <f>38150</f>
        <v>38150</v>
      </c>
      <c r="P38" s="32" t="s">
        <v>683</v>
      </c>
      <c r="Q38" s="31">
        <f>39540</f>
        <v>39540</v>
      </c>
      <c r="R38" s="32" t="s">
        <v>681</v>
      </c>
      <c r="S38" s="33">
        <f>39330.91</f>
        <v>39330.910000000003</v>
      </c>
      <c r="T38" s="30">
        <f>144852</f>
        <v>144852</v>
      </c>
      <c r="U38" s="30">
        <f>32110</f>
        <v>32110</v>
      </c>
      <c r="V38" s="30">
        <f>5650576880</f>
        <v>5650576880</v>
      </c>
      <c r="W38" s="30">
        <f>1238678890</f>
        <v>1238678890</v>
      </c>
      <c r="X38" s="34">
        <f>22</f>
        <v>22</v>
      </c>
    </row>
    <row r="39" spans="1:24">
      <c r="A39" s="25" t="s">
        <v>1232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1775.5</f>
        <v>1775.5</v>
      </c>
      <c r="L39" s="32" t="s">
        <v>1110</v>
      </c>
      <c r="M39" s="31">
        <f>1775.5</f>
        <v>1775.5</v>
      </c>
      <c r="N39" s="32" t="s">
        <v>1110</v>
      </c>
      <c r="O39" s="31">
        <f>1720.5</f>
        <v>1720.5</v>
      </c>
      <c r="P39" s="32" t="s">
        <v>679</v>
      </c>
      <c r="Q39" s="31">
        <f>1734</f>
        <v>1734</v>
      </c>
      <c r="R39" s="32" t="s">
        <v>681</v>
      </c>
      <c r="S39" s="33">
        <f>1743.25</f>
        <v>1743.25</v>
      </c>
      <c r="T39" s="30">
        <f>4154670</f>
        <v>4154670</v>
      </c>
      <c r="U39" s="30">
        <f>2728480</f>
        <v>2728480</v>
      </c>
      <c r="V39" s="30">
        <f>7254473752</f>
        <v>7254473752</v>
      </c>
      <c r="W39" s="30">
        <f>4756253982</f>
        <v>4756253982</v>
      </c>
      <c r="X39" s="34">
        <f>22</f>
        <v>22</v>
      </c>
    </row>
    <row r="40" spans="1:24">
      <c r="A40" s="25" t="s">
        <v>1232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2239.5</f>
        <v>2239.5</v>
      </c>
      <c r="L40" s="32" t="s">
        <v>1110</v>
      </c>
      <c r="M40" s="31">
        <f>2269.5</f>
        <v>2269.5</v>
      </c>
      <c r="N40" s="32" t="s">
        <v>1145</v>
      </c>
      <c r="O40" s="31">
        <f>2130.5</f>
        <v>2130.5</v>
      </c>
      <c r="P40" s="32" t="s">
        <v>1114</v>
      </c>
      <c r="Q40" s="31">
        <f>2216</f>
        <v>2216</v>
      </c>
      <c r="R40" s="32" t="s">
        <v>681</v>
      </c>
      <c r="S40" s="33">
        <f>2212.93</f>
        <v>2212.9299999999998</v>
      </c>
      <c r="T40" s="30">
        <f>35130</f>
        <v>35130</v>
      </c>
      <c r="U40" s="30">
        <f>150</f>
        <v>150</v>
      </c>
      <c r="V40" s="30">
        <f>78168925</f>
        <v>78168925</v>
      </c>
      <c r="W40" s="30">
        <f>327560</f>
        <v>327560</v>
      </c>
      <c r="X40" s="34">
        <f>21</f>
        <v>21</v>
      </c>
    </row>
    <row r="41" spans="1:24">
      <c r="A41" s="25" t="s">
        <v>1232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1929</f>
        <v>1929</v>
      </c>
      <c r="L41" s="32" t="s">
        <v>1110</v>
      </c>
      <c r="M41" s="31">
        <f>2002</f>
        <v>2002</v>
      </c>
      <c r="N41" s="32" t="s">
        <v>681</v>
      </c>
      <c r="O41" s="31">
        <f>1920</f>
        <v>1920</v>
      </c>
      <c r="P41" s="32" t="s">
        <v>675</v>
      </c>
      <c r="Q41" s="31">
        <f>2001</f>
        <v>2001</v>
      </c>
      <c r="R41" s="32" t="s">
        <v>681</v>
      </c>
      <c r="S41" s="33">
        <f>1969.36</f>
        <v>1969.36</v>
      </c>
      <c r="T41" s="30">
        <f>28411</f>
        <v>28411</v>
      </c>
      <c r="U41" s="30" t="str">
        <f>"－"</f>
        <v>－</v>
      </c>
      <c r="V41" s="30">
        <f>56401430</f>
        <v>56401430</v>
      </c>
      <c r="W41" s="30" t="str">
        <f>"－"</f>
        <v>－</v>
      </c>
      <c r="X41" s="34">
        <f>22</f>
        <v>22</v>
      </c>
    </row>
    <row r="42" spans="1:24">
      <c r="A42" s="25" t="s">
        <v>1232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2540</f>
        <v>2540</v>
      </c>
      <c r="L42" s="32" t="s">
        <v>1110</v>
      </c>
      <c r="M42" s="31">
        <f>2580</f>
        <v>2580</v>
      </c>
      <c r="N42" s="32" t="s">
        <v>1116</v>
      </c>
      <c r="O42" s="31">
        <f>2408</f>
        <v>2408</v>
      </c>
      <c r="P42" s="32" t="s">
        <v>875</v>
      </c>
      <c r="Q42" s="31">
        <f>2478</f>
        <v>2478</v>
      </c>
      <c r="R42" s="32" t="s">
        <v>681</v>
      </c>
      <c r="S42" s="33">
        <f>2496.5</f>
        <v>2496.5</v>
      </c>
      <c r="T42" s="30">
        <f>3706558</f>
        <v>3706558</v>
      </c>
      <c r="U42" s="30">
        <f>950190</f>
        <v>950190</v>
      </c>
      <c r="V42" s="30">
        <f>9252839220</f>
        <v>9252839220</v>
      </c>
      <c r="W42" s="30">
        <f>2365194274</f>
        <v>2365194274</v>
      </c>
      <c r="X42" s="34">
        <f>22</f>
        <v>22</v>
      </c>
    </row>
    <row r="43" spans="1:24">
      <c r="A43" s="25" t="s">
        <v>1232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3045</f>
        <v>3045</v>
      </c>
      <c r="L43" s="32" t="s">
        <v>1110</v>
      </c>
      <c r="M43" s="31">
        <f>3100</f>
        <v>3100</v>
      </c>
      <c r="N43" s="32" t="s">
        <v>683</v>
      </c>
      <c r="O43" s="31">
        <f>2938</f>
        <v>2938</v>
      </c>
      <c r="P43" s="32" t="s">
        <v>1115</v>
      </c>
      <c r="Q43" s="31">
        <f>2991</f>
        <v>2991</v>
      </c>
      <c r="R43" s="32" t="s">
        <v>681</v>
      </c>
      <c r="S43" s="33">
        <f>3013.55</f>
        <v>3013.55</v>
      </c>
      <c r="T43" s="30">
        <f>939117</f>
        <v>939117</v>
      </c>
      <c r="U43" s="30">
        <f>763743</f>
        <v>763743</v>
      </c>
      <c r="V43" s="30">
        <f>2837781344</f>
        <v>2837781344</v>
      </c>
      <c r="W43" s="30">
        <f>2310707477</f>
        <v>2310707477</v>
      </c>
      <c r="X43" s="34">
        <f>22</f>
        <v>22</v>
      </c>
    </row>
    <row r="44" spans="1:24">
      <c r="A44" s="25" t="s">
        <v>1232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30920</f>
        <v>30920</v>
      </c>
      <c r="L44" s="32" t="s">
        <v>1110</v>
      </c>
      <c r="M44" s="31">
        <f>34140</f>
        <v>34140</v>
      </c>
      <c r="N44" s="32" t="s">
        <v>875</v>
      </c>
      <c r="O44" s="31">
        <f>29895</f>
        <v>29895</v>
      </c>
      <c r="P44" s="32" t="s">
        <v>1116</v>
      </c>
      <c r="Q44" s="31">
        <f>32150</f>
        <v>32150</v>
      </c>
      <c r="R44" s="32" t="s">
        <v>681</v>
      </c>
      <c r="S44" s="33">
        <f>31779.09</f>
        <v>31779.09</v>
      </c>
      <c r="T44" s="30">
        <f>7540930</f>
        <v>7540930</v>
      </c>
      <c r="U44" s="30">
        <f>102652</f>
        <v>102652</v>
      </c>
      <c r="V44" s="30">
        <f>239883165260</f>
        <v>239883165260</v>
      </c>
      <c r="W44" s="30">
        <f>3267437380</f>
        <v>3267437380</v>
      </c>
      <c r="X44" s="34">
        <f>22</f>
        <v>22</v>
      </c>
    </row>
    <row r="45" spans="1:24">
      <c r="A45" s="25" t="s">
        <v>1232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514</f>
        <v>514</v>
      </c>
      <c r="L45" s="32" t="s">
        <v>1110</v>
      </c>
      <c r="M45" s="31">
        <f>529</f>
        <v>529</v>
      </c>
      <c r="N45" s="32" t="s">
        <v>1116</v>
      </c>
      <c r="O45" s="31">
        <f>460</f>
        <v>460</v>
      </c>
      <c r="P45" s="32" t="s">
        <v>875</v>
      </c>
      <c r="Q45" s="31">
        <f>487</f>
        <v>487</v>
      </c>
      <c r="R45" s="32" t="s">
        <v>681</v>
      </c>
      <c r="S45" s="33">
        <f>494.77</f>
        <v>494.77</v>
      </c>
      <c r="T45" s="30">
        <f>289993912</f>
        <v>289993912</v>
      </c>
      <c r="U45" s="30">
        <f>2835124</f>
        <v>2835124</v>
      </c>
      <c r="V45" s="30">
        <f>143493451588</f>
        <v>143493451588</v>
      </c>
      <c r="W45" s="30">
        <f>1414395419</f>
        <v>1414395419</v>
      </c>
      <c r="X45" s="34">
        <f>22</f>
        <v>22</v>
      </c>
    </row>
    <row r="46" spans="1:24">
      <c r="A46" s="25" t="s">
        <v>1232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 t="s">
        <v>761</v>
      </c>
      <c r="I46" s="29"/>
      <c r="J46" s="30">
        <v>1</v>
      </c>
      <c r="K46" s="31">
        <f>28375</f>
        <v>28375</v>
      </c>
      <c r="L46" s="32" t="s">
        <v>1110</v>
      </c>
      <c r="M46" s="31">
        <f>30700</f>
        <v>30700</v>
      </c>
      <c r="N46" s="32" t="s">
        <v>876</v>
      </c>
      <c r="O46" s="31">
        <f>28375</f>
        <v>28375</v>
      </c>
      <c r="P46" s="32" t="s">
        <v>1110</v>
      </c>
      <c r="Q46" s="31">
        <f>29000</f>
        <v>29000</v>
      </c>
      <c r="R46" s="32" t="s">
        <v>681</v>
      </c>
      <c r="S46" s="33">
        <f>28991.36</f>
        <v>28991.360000000001</v>
      </c>
      <c r="T46" s="30">
        <f>4315</f>
        <v>4315</v>
      </c>
      <c r="U46" s="30">
        <f>265</f>
        <v>265</v>
      </c>
      <c r="V46" s="30">
        <f>126238895</f>
        <v>126238895</v>
      </c>
      <c r="W46" s="30">
        <f>7683520</f>
        <v>7683520</v>
      </c>
      <c r="X46" s="34">
        <f>22</f>
        <v>22</v>
      </c>
    </row>
    <row r="47" spans="1:24">
      <c r="A47" s="25" t="s">
        <v>1232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 t="s">
        <v>761</v>
      </c>
      <c r="I47" s="29"/>
      <c r="J47" s="30">
        <v>1</v>
      </c>
      <c r="K47" s="31">
        <f>2843</f>
        <v>2843</v>
      </c>
      <c r="L47" s="32" t="s">
        <v>1110</v>
      </c>
      <c r="M47" s="31">
        <f>3030</f>
        <v>3030</v>
      </c>
      <c r="N47" s="32" t="s">
        <v>777</v>
      </c>
      <c r="O47" s="31">
        <f>2768</f>
        <v>2768</v>
      </c>
      <c r="P47" s="32" t="s">
        <v>1115</v>
      </c>
      <c r="Q47" s="31">
        <f>2881</f>
        <v>2881</v>
      </c>
      <c r="R47" s="32" t="s">
        <v>681</v>
      </c>
      <c r="S47" s="33">
        <f>2859.05</f>
        <v>2859.05</v>
      </c>
      <c r="T47" s="30">
        <f>14804</f>
        <v>14804</v>
      </c>
      <c r="U47" s="30">
        <f>1</f>
        <v>1</v>
      </c>
      <c r="V47" s="30">
        <f>42406408</f>
        <v>42406408</v>
      </c>
      <c r="W47" s="30">
        <f>2836</f>
        <v>2836</v>
      </c>
      <c r="X47" s="34">
        <f>22</f>
        <v>22</v>
      </c>
    </row>
    <row r="48" spans="1:24">
      <c r="A48" s="25" t="s">
        <v>1232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622</f>
        <v>622</v>
      </c>
      <c r="L48" s="32" t="s">
        <v>1110</v>
      </c>
      <c r="M48" s="31">
        <f>648</f>
        <v>648</v>
      </c>
      <c r="N48" s="32" t="s">
        <v>1116</v>
      </c>
      <c r="O48" s="31">
        <f>583</f>
        <v>583</v>
      </c>
      <c r="P48" s="32" t="s">
        <v>1115</v>
      </c>
      <c r="Q48" s="31">
        <f>608</f>
        <v>608</v>
      </c>
      <c r="R48" s="32" t="s">
        <v>681</v>
      </c>
      <c r="S48" s="33">
        <f>611.5</f>
        <v>611.5</v>
      </c>
      <c r="T48" s="30">
        <f>62721</f>
        <v>62721</v>
      </c>
      <c r="U48" s="30" t="str">
        <f>"－"</f>
        <v>－</v>
      </c>
      <c r="V48" s="30">
        <f>38322013</f>
        <v>38322013</v>
      </c>
      <c r="W48" s="30" t="str">
        <f>"－"</f>
        <v>－</v>
      </c>
      <c r="X48" s="34">
        <f>22</f>
        <v>22</v>
      </c>
    </row>
    <row r="49" spans="1:24">
      <c r="A49" s="25" t="s">
        <v>1232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600.3</f>
        <v>600.29999999999995</v>
      </c>
      <c r="L49" s="32" t="s">
        <v>1110</v>
      </c>
      <c r="M49" s="31">
        <f>638.5</f>
        <v>638.5</v>
      </c>
      <c r="N49" s="32" t="s">
        <v>1114</v>
      </c>
      <c r="O49" s="31">
        <f>580</f>
        <v>580</v>
      </c>
      <c r="P49" s="32" t="s">
        <v>875</v>
      </c>
      <c r="Q49" s="31">
        <f>603</f>
        <v>603</v>
      </c>
      <c r="R49" s="32" t="s">
        <v>681</v>
      </c>
      <c r="S49" s="33">
        <f>602.03</f>
        <v>602.03</v>
      </c>
      <c r="T49" s="30">
        <f>115550</f>
        <v>115550</v>
      </c>
      <c r="U49" s="30" t="str">
        <f>"－"</f>
        <v>－</v>
      </c>
      <c r="V49" s="30">
        <f>69574532</f>
        <v>69574532</v>
      </c>
      <c r="W49" s="30" t="str">
        <f>"－"</f>
        <v>－</v>
      </c>
      <c r="X49" s="34">
        <f>22</f>
        <v>22</v>
      </c>
    </row>
    <row r="50" spans="1:24">
      <c r="A50" s="25" t="s">
        <v>1232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261</f>
        <v>261</v>
      </c>
      <c r="L50" s="32" t="s">
        <v>1110</v>
      </c>
      <c r="M50" s="31">
        <f>274</f>
        <v>274</v>
      </c>
      <c r="N50" s="32" t="s">
        <v>1114</v>
      </c>
      <c r="O50" s="31">
        <f>238</f>
        <v>238</v>
      </c>
      <c r="P50" s="32" t="s">
        <v>684</v>
      </c>
      <c r="Q50" s="31">
        <f>240</f>
        <v>240</v>
      </c>
      <c r="R50" s="32" t="s">
        <v>681</v>
      </c>
      <c r="S50" s="33">
        <f>251.32</f>
        <v>251.32</v>
      </c>
      <c r="T50" s="30">
        <f>195556</f>
        <v>195556</v>
      </c>
      <c r="U50" s="30" t="str">
        <f>"－"</f>
        <v>－</v>
      </c>
      <c r="V50" s="30">
        <f>49039886</f>
        <v>49039886</v>
      </c>
      <c r="W50" s="30" t="str">
        <f>"－"</f>
        <v>－</v>
      </c>
      <c r="X50" s="34">
        <f>22</f>
        <v>22</v>
      </c>
    </row>
    <row r="51" spans="1:24">
      <c r="A51" s="25" t="s">
        <v>1232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2752</f>
        <v>2752</v>
      </c>
      <c r="L51" s="32" t="s">
        <v>1110</v>
      </c>
      <c r="M51" s="31">
        <f>2818.5</f>
        <v>2818.5</v>
      </c>
      <c r="N51" s="32" t="s">
        <v>1115</v>
      </c>
      <c r="O51" s="31">
        <f>2670.5</f>
        <v>2670.5</v>
      </c>
      <c r="P51" s="32" t="s">
        <v>1114</v>
      </c>
      <c r="Q51" s="31">
        <f>2766.5</f>
        <v>2766.5</v>
      </c>
      <c r="R51" s="32" t="s">
        <v>681</v>
      </c>
      <c r="S51" s="33">
        <f>2750.61</f>
        <v>2750.61</v>
      </c>
      <c r="T51" s="30">
        <f>695890</f>
        <v>695890</v>
      </c>
      <c r="U51" s="30">
        <f>457630</f>
        <v>457630</v>
      </c>
      <c r="V51" s="30">
        <f>1916939431</f>
        <v>1916939431</v>
      </c>
      <c r="W51" s="30">
        <f>1262825506</f>
        <v>1262825506</v>
      </c>
      <c r="X51" s="34">
        <f>22</f>
        <v>22</v>
      </c>
    </row>
    <row r="52" spans="1:24">
      <c r="A52" s="25" t="s">
        <v>1232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24810</f>
        <v>24810</v>
      </c>
      <c r="L52" s="32" t="s">
        <v>1110</v>
      </c>
      <c r="M52" s="31">
        <f>25660</f>
        <v>25660</v>
      </c>
      <c r="N52" s="32" t="s">
        <v>1115</v>
      </c>
      <c r="O52" s="31">
        <f>24290</f>
        <v>24290</v>
      </c>
      <c r="P52" s="32" t="s">
        <v>679</v>
      </c>
      <c r="Q52" s="31">
        <f>25015</f>
        <v>25015</v>
      </c>
      <c r="R52" s="32" t="s">
        <v>681</v>
      </c>
      <c r="S52" s="33">
        <f>25012.05</f>
        <v>25012.05</v>
      </c>
      <c r="T52" s="30">
        <f>50406</f>
        <v>50406</v>
      </c>
      <c r="U52" s="30">
        <f>20304</f>
        <v>20304</v>
      </c>
      <c r="V52" s="30">
        <f>1251737297</f>
        <v>1251737297</v>
      </c>
      <c r="W52" s="30">
        <f>499998182</f>
        <v>499998182</v>
      </c>
      <c r="X52" s="34">
        <f>22</f>
        <v>22</v>
      </c>
    </row>
    <row r="53" spans="1:24">
      <c r="A53" s="25" t="s">
        <v>1232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10</v>
      </c>
      <c r="K53" s="31">
        <f>275.5</f>
        <v>275.5</v>
      </c>
      <c r="L53" s="32" t="s">
        <v>1110</v>
      </c>
      <c r="M53" s="31">
        <f>284</f>
        <v>284</v>
      </c>
      <c r="N53" s="32" t="s">
        <v>1115</v>
      </c>
      <c r="O53" s="31">
        <f>268.7</f>
        <v>268.7</v>
      </c>
      <c r="P53" s="32" t="s">
        <v>679</v>
      </c>
      <c r="Q53" s="31">
        <f>278</f>
        <v>278</v>
      </c>
      <c r="R53" s="32" t="s">
        <v>681</v>
      </c>
      <c r="S53" s="33">
        <f>276.9</f>
        <v>276.89999999999998</v>
      </c>
      <c r="T53" s="30">
        <f>119043860</f>
        <v>119043860</v>
      </c>
      <c r="U53" s="30">
        <f>34985010</f>
        <v>34985010</v>
      </c>
      <c r="V53" s="30">
        <f>32921039316</f>
        <v>32921039316</v>
      </c>
      <c r="W53" s="30">
        <f>9671936916</f>
        <v>9671936916</v>
      </c>
      <c r="X53" s="34">
        <f>22</f>
        <v>22</v>
      </c>
    </row>
    <row r="54" spans="1:24">
      <c r="A54" s="25" t="s">
        <v>1232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1796</f>
        <v>1796</v>
      </c>
      <c r="L54" s="32" t="s">
        <v>1110</v>
      </c>
      <c r="M54" s="31">
        <f>1796</f>
        <v>1796</v>
      </c>
      <c r="N54" s="32" t="s">
        <v>1110</v>
      </c>
      <c r="O54" s="31">
        <f>1740</f>
        <v>1740</v>
      </c>
      <c r="P54" s="32" t="s">
        <v>1114</v>
      </c>
      <c r="Q54" s="31">
        <f>1749</f>
        <v>1749</v>
      </c>
      <c r="R54" s="32" t="s">
        <v>681</v>
      </c>
      <c r="S54" s="33">
        <f>1764</f>
        <v>1764</v>
      </c>
      <c r="T54" s="30">
        <f>7485851</f>
        <v>7485851</v>
      </c>
      <c r="U54" s="30">
        <f>4545524</f>
        <v>4545524</v>
      </c>
      <c r="V54" s="30">
        <f>13199797048</f>
        <v>13199797048</v>
      </c>
      <c r="W54" s="30">
        <f>8001692014</f>
        <v>8001692014</v>
      </c>
      <c r="X54" s="34">
        <f>22</f>
        <v>22</v>
      </c>
    </row>
    <row r="55" spans="1:24">
      <c r="A55" s="25" t="s">
        <v>1232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2527</f>
        <v>2527</v>
      </c>
      <c r="L55" s="32" t="s">
        <v>1110</v>
      </c>
      <c r="M55" s="31">
        <f>2640</f>
        <v>2640</v>
      </c>
      <c r="N55" s="32" t="s">
        <v>1115</v>
      </c>
      <c r="O55" s="31">
        <f>2511</f>
        <v>2511</v>
      </c>
      <c r="P55" s="32" t="s">
        <v>679</v>
      </c>
      <c r="Q55" s="31">
        <f>2576</f>
        <v>2576</v>
      </c>
      <c r="R55" s="32" t="s">
        <v>681</v>
      </c>
      <c r="S55" s="33">
        <f>2574.05</f>
        <v>2574.0500000000002</v>
      </c>
      <c r="T55" s="30">
        <f>46076</f>
        <v>46076</v>
      </c>
      <c r="U55" s="30">
        <f>3567</f>
        <v>3567</v>
      </c>
      <c r="V55" s="30">
        <f>118448028</f>
        <v>118448028</v>
      </c>
      <c r="W55" s="30">
        <f>9193117</f>
        <v>9193117</v>
      </c>
      <c r="X55" s="34">
        <f>22</f>
        <v>22</v>
      </c>
    </row>
    <row r="56" spans="1:24">
      <c r="A56" s="25" t="s">
        <v>1232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3640</f>
        <v>3640</v>
      </c>
      <c r="L56" s="32" t="s">
        <v>1110</v>
      </c>
      <c r="M56" s="31">
        <f>3740</f>
        <v>3740</v>
      </c>
      <c r="N56" s="32" t="s">
        <v>1115</v>
      </c>
      <c r="O56" s="31">
        <f>3565</f>
        <v>3565</v>
      </c>
      <c r="P56" s="32" t="s">
        <v>683</v>
      </c>
      <c r="Q56" s="31">
        <f>3675</f>
        <v>3675</v>
      </c>
      <c r="R56" s="32" t="s">
        <v>681</v>
      </c>
      <c r="S56" s="33">
        <f>3655.23</f>
        <v>3655.23</v>
      </c>
      <c r="T56" s="30">
        <f>598735</f>
        <v>598735</v>
      </c>
      <c r="U56" s="30">
        <f>329993</f>
        <v>329993</v>
      </c>
      <c r="V56" s="30">
        <f>2183878994</f>
        <v>2183878994</v>
      </c>
      <c r="W56" s="30">
        <f>1200471084</f>
        <v>1200471084</v>
      </c>
      <c r="X56" s="34">
        <f>22</f>
        <v>22</v>
      </c>
    </row>
    <row r="57" spans="1:24">
      <c r="A57" s="25" t="s">
        <v>1232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35330</f>
        <v>35330</v>
      </c>
      <c r="L57" s="32" t="s">
        <v>1145</v>
      </c>
      <c r="M57" s="31">
        <f>36460</f>
        <v>36460</v>
      </c>
      <c r="N57" s="32" t="s">
        <v>875</v>
      </c>
      <c r="O57" s="31">
        <f>35330</f>
        <v>35330</v>
      </c>
      <c r="P57" s="32" t="s">
        <v>1145</v>
      </c>
      <c r="Q57" s="31">
        <f>35890</f>
        <v>35890</v>
      </c>
      <c r="R57" s="32" t="s">
        <v>777</v>
      </c>
      <c r="S57" s="33">
        <f>35808</f>
        <v>35808</v>
      </c>
      <c r="T57" s="30">
        <f>65</f>
        <v>65</v>
      </c>
      <c r="U57" s="30" t="str">
        <f>"－"</f>
        <v>－</v>
      </c>
      <c r="V57" s="30">
        <f>2333430</f>
        <v>2333430</v>
      </c>
      <c r="W57" s="30" t="str">
        <f>"－"</f>
        <v>－</v>
      </c>
      <c r="X57" s="34">
        <f>5</f>
        <v>5</v>
      </c>
    </row>
    <row r="58" spans="1:24">
      <c r="A58" s="25" t="s">
        <v>1232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27365</f>
        <v>27365</v>
      </c>
      <c r="L58" s="32" t="s">
        <v>1116</v>
      </c>
      <c r="M58" s="31">
        <f>27935</f>
        <v>27935</v>
      </c>
      <c r="N58" s="32" t="s">
        <v>1115</v>
      </c>
      <c r="O58" s="31">
        <f>26320</f>
        <v>26320</v>
      </c>
      <c r="P58" s="32" t="s">
        <v>679</v>
      </c>
      <c r="Q58" s="31">
        <f>26820</f>
        <v>26820</v>
      </c>
      <c r="R58" s="32" t="s">
        <v>883</v>
      </c>
      <c r="S58" s="33">
        <f>27234.44</f>
        <v>27234.44</v>
      </c>
      <c r="T58" s="30">
        <f>202</f>
        <v>202</v>
      </c>
      <c r="U58" s="30" t="str">
        <f>"－"</f>
        <v>－</v>
      </c>
      <c r="V58" s="30">
        <f>5581315</f>
        <v>5581315</v>
      </c>
      <c r="W58" s="30" t="str">
        <f>"－"</f>
        <v>－</v>
      </c>
      <c r="X58" s="34">
        <f>9</f>
        <v>9</v>
      </c>
    </row>
    <row r="59" spans="1:24">
      <c r="A59" s="25" t="s">
        <v>1232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2849</f>
        <v>2849</v>
      </c>
      <c r="L59" s="32" t="s">
        <v>1110</v>
      </c>
      <c r="M59" s="31">
        <f>2901</f>
        <v>2901</v>
      </c>
      <c r="N59" s="32" t="s">
        <v>1115</v>
      </c>
      <c r="O59" s="31">
        <f>2779</f>
        <v>2779</v>
      </c>
      <c r="P59" s="32" t="s">
        <v>679</v>
      </c>
      <c r="Q59" s="31">
        <f>2838</f>
        <v>2838</v>
      </c>
      <c r="R59" s="32" t="s">
        <v>681</v>
      </c>
      <c r="S59" s="33">
        <f>2844</f>
        <v>2844</v>
      </c>
      <c r="T59" s="30">
        <f>12954</f>
        <v>12954</v>
      </c>
      <c r="U59" s="30" t="str">
        <f>"－"</f>
        <v>－</v>
      </c>
      <c r="V59" s="30">
        <f>37048475</f>
        <v>37048475</v>
      </c>
      <c r="W59" s="30" t="str">
        <f>"－"</f>
        <v>－</v>
      </c>
      <c r="X59" s="34">
        <f>22</f>
        <v>22</v>
      </c>
    </row>
    <row r="60" spans="1:24">
      <c r="A60" s="25" t="s">
        <v>1232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1769</f>
        <v>1769</v>
      </c>
      <c r="L60" s="32" t="s">
        <v>1110</v>
      </c>
      <c r="M60" s="31">
        <f>1775</f>
        <v>1775</v>
      </c>
      <c r="N60" s="32" t="s">
        <v>1116</v>
      </c>
      <c r="O60" s="31">
        <f>1680</f>
        <v>1680</v>
      </c>
      <c r="P60" s="32" t="s">
        <v>681</v>
      </c>
      <c r="Q60" s="31">
        <f>1684</f>
        <v>1684</v>
      </c>
      <c r="R60" s="32" t="s">
        <v>681</v>
      </c>
      <c r="S60" s="33">
        <f>1718.68</f>
        <v>1718.68</v>
      </c>
      <c r="T60" s="30">
        <f>18193874</f>
        <v>18193874</v>
      </c>
      <c r="U60" s="30">
        <f>14914023</f>
        <v>14914023</v>
      </c>
      <c r="V60" s="30">
        <f>31423233825</f>
        <v>31423233825</v>
      </c>
      <c r="W60" s="30">
        <f>25767191130</f>
        <v>25767191130</v>
      </c>
      <c r="X60" s="34">
        <f>22</f>
        <v>22</v>
      </c>
    </row>
    <row r="61" spans="1:24">
      <c r="A61" s="25" t="s">
        <v>1232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2803</f>
        <v>2803</v>
      </c>
      <c r="L61" s="32" t="s">
        <v>1110</v>
      </c>
      <c r="M61" s="31">
        <f>2880</f>
        <v>2880</v>
      </c>
      <c r="N61" s="32" t="s">
        <v>875</v>
      </c>
      <c r="O61" s="31">
        <f>2746</f>
        <v>2746</v>
      </c>
      <c r="P61" s="32" t="s">
        <v>684</v>
      </c>
      <c r="Q61" s="31">
        <f>2822</f>
        <v>2822</v>
      </c>
      <c r="R61" s="32" t="s">
        <v>681</v>
      </c>
      <c r="S61" s="33">
        <f>2821.41</f>
        <v>2821.41</v>
      </c>
      <c r="T61" s="30">
        <f>4937</f>
        <v>4937</v>
      </c>
      <c r="U61" s="30">
        <f>3028</f>
        <v>3028</v>
      </c>
      <c r="V61" s="30">
        <f>14000950</f>
        <v>14000950</v>
      </c>
      <c r="W61" s="30">
        <f>8630768</f>
        <v>8630768</v>
      </c>
      <c r="X61" s="34">
        <f>22</f>
        <v>22</v>
      </c>
    </row>
    <row r="62" spans="1:24">
      <c r="A62" s="25" t="s">
        <v>1232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2809</f>
        <v>2809</v>
      </c>
      <c r="L62" s="32" t="s">
        <v>1110</v>
      </c>
      <c r="M62" s="31">
        <f>2864</f>
        <v>2864</v>
      </c>
      <c r="N62" s="32" t="s">
        <v>1115</v>
      </c>
      <c r="O62" s="31">
        <f>2740.5</f>
        <v>2740.5</v>
      </c>
      <c r="P62" s="32" t="s">
        <v>679</v>
      </c>
      <c r="Q62" s="31">
        <f>2799</f>
        <v>2799</v>
      </c>
      <c r="R62" s="32" t="s">
        <v>681</v>
      </c>
      <c r="S62" s="33">
        <f>2806.14</f>
        <v>2806.14</v>
      </c>
      <c r="T62" s="30">
        <f>11860</f>
        <v>11860</v>
      </c>
      <c r="U62" s="30" t="str">
        <f>"－"</f>
        <v>－</v>
      </c>
      <c r="V62" s="30">
        <f>33358435</f>
        <v>33358435</v>
      </c>
      <c r="W62" s="30" t="str">
        <f>"－"</f>
        <v>－</v>
      </c>
      <c r="X62" s="34">
        <f>22</f>
        <v>22</v>
      </c>
    </row>
    <row r="63" spans="1:24">
      <c r="A63" s="25" t="s">
        <v>1232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48620</f>
        <v>48620</v>
      </c>
      <c r="L63" s="32" t="s">
        <v>1112</v>
      </c>
      <c r="M63" s="31">
        <f>52000</f>
        <v>52000</v>
      </c>
      <c r="N63" s="32" t="s">
        <v>883</v>
      </c>
      <c r="O63" s="31">
        <f>40270</f>
        <v>40270</v>
      </c>
      <c r="P63" s="32" t="s">
        <v>681</v>
      </c>
      <c r="Q63" s="31">
        <f>40320</f>
        <v>40320</v>
      </c>
      <c r="R63" s="32" t="s">
        <v>681</v>
      </c>
      <c r="S63" s="33">
        <f>46760</f>
        <v>46760</v>
      </c>
      <c r="T63" s="30">
        <f>65</f>
        <v>65</v>
      </c>
      <c r="U63" s="30" t="str">
        <f>"－"</f>
        <v>－</v>
      </c>
      <c r="V63" s="30">
        <f>2782010</f>
        <v>2782010</v>
      </c>
      <c r="W63" s="30" t="str">
        <f>"－"</f>
        <v>－</v>
      </c>
      <c r="X63" s="34">
        <f>4</f>
        <v>4</v>
      </c>
    </row>
    <row r="64" spans="1:24">
      <c r="A64" s="25" t="s">
        <v>1232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23160</f>
        <v>23160</v>
      </c>
      <c r="L64" s="32" t="s">
        <v>1110</v>
      </c>
      <c r="M64" s="31">
        <f>24020</f>
        <v>24020</v>
      </c>
      <c r="N64" s="32" t="s">
        <v>777</v>
      </c>
      <c r="O64" s="31">
        <f>22900</f>
        <v>22900</v>
      </c>
      <c r="P64" s="32" t="s">
        <v>1110</v>
      </c>
      <c r="Q64" s="31">
        <f>23875</f>
        <v>23875</v>
      </c>
      <c r="R64" s="32" t="s">
        <v>681</v>
      </c>
      <c r="S64" s="33">
        <f>23672.5</f>
        <v>23672.5</v>
      </c>
      <c r="T64" s="30">
        <f>312725</f>
        <v>312725</v>
      </c>
      <c r="U64" s="30">
        <f>266768</f>
        <v>266768</v>
      </c>
      <c r="V64" s="30">
        <f>7428399971</f>
        <v>7428399971</v>
      </c>
      <c r="W64" s="30">
        <f>6343911496</f>
        <v>6343911496</v>
      </c>
      <c r="X64" s="34">
        <f>22</f>
        <v>22</v>
      </c>
    </row>
    <row r="65" spans="1:24">
      <c r="A65" s="25" t="s">
        <v>1232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13600</f>
        <v>13600</v>
      </c>
      <c r="L65" s="32" t="s">
        <v>1110</v>
      </c>
      <c r="M65" s="31">
        <f>13615</f>
        <v>13615</v>
      </c>
      <c r="N65" s="32" t="s">
        <v>1116</v>
      </c>
      <c r="O65" s="31">
        <f>13000</f>
        <v>13000</v>
      </c>
      <c r="P65" s="32" t="s">
        <v>777</v>
      </c>
      <c r="Q65" s="31">
        <f>13035</f>
        <v>13035</v>
      </c>
      <c r="R65" s="32" t="s">
        <v>681</v>
      </c>
      <c r="S65" s="33">
        <f>13256.59</f>
        <v>13256.59</v>
      </c>
      <c r="T65" s="30">
        <f>608886</f>
        <v>608886</v>
      </c>
      <c r="U65" s="30">
        <f>527501</f>
        <v>527501</v>
      </c>
      <c r="V65" s="30">
        <f>8049511457</f>
        <v>8049511457</v>
      </c>
      <c r="W65" s="30">
        <f>6971743942</f>
        <v>6971743942</v>
      </c>
      <c r="X65" s="34">
        <f>22</f>
        <v>22</v>
      </c>
    </row>
    <row r="66" spans="1:24">
      <c r="A66" s="25" t="s">
        <v>1232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1791</f>
        <v>1791</v>
      </c>
      <c r="L66" s="32" t="s">
        <v>1110</v>
      </c>
      <c r="M66" s="31">
        <f>1791</f>
        <v>1791</v>
      </c>
      <c r="N66" s="32" t="s">
        <v>1110</v>
      </c>
      <c r="O66" s="31">
        <f>1729</f>
        <v>1729</v>
      </c>
      <c r="P66" s="32" t="s">
        <v>679</v>
      </c>
      <c r="Q66" s="31">
        <f>1743</f>
        <v>1743</v>
      </c>
      <c r="R66" s="32" t="s">
        <v>681</v>
      </c>
      <c r="S66" s="33">
        <f>1753.95</f>
        <v>1753.95</v>
      </c>
      <c r="T66" s="30">
        <f>2187282</f>
        <v>2187282</v>
      </c>
      <c r="U66" s="30">
        <f>795756</f>
        <v>795756</v>
      </c>
      <c r="V66" s="30">
        <f>3829978825</f>
        <v>3829978825</v>
      </c>
      <c r="W66" s="30">
        <f>1391855236</f>
        <v>1391855236</v>
      </c>
      <c r="X66" s="34">
        <f>22</f>
        <v>22</v>
      </c>
    </row>
    <row r="67" spans="1:24">
      <c r="A67" s="25" t="s">
        <v>1232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2267</f>
        <v>2267</v>
      </c>
      <c r="L67" s="32" t="s">
        <v>1110</v>
      </c>
      <c r="M67" s="31">
        <f>2315</f>
        <v>2315</v>
      </c>
      <c r="N67" s="32" t="s">
        <v>1145</v>
      </c>
      <c r="O67" s="31">
        <f>2165</f>
        <v>2165</v>
      </c>
      <c r="P67" s="32" t="s">
        <v>1114</v>
      </c>
      <c r="Q67" s="31">
        <f>2250</f>
        <v>2250</v>
      </c>
      <c r="R67" s="32" t="s">
        <v>681</v>
      </c>
      <c r="S67" s="33">
        <f>2243.73</f>
        <v>2243.73</v>
      </c>
      <c r="T67" s="30">
        <f>12620552</f>
        <v>12620552</v>
      </c>
      <c r="U67" s="30">
        <f>704222</f>
        <v>704222</v>
      </c>
      <c r="V67" s="30">
        <f>28339653963</f>
        <v>28339653963</v>
      </c>
      <c r="W67" s="30">
        <f>1573406719</f>
        <v>1573406719</v>
      </c>
      <c r="X67" s="34">
        <f>22</f>
        <v>22</v>
      </c>
    </row>
    <row r="68" spans="1:24">
      <c r="A68" s="25" t="s">
        <v>1232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7675</f>
        <v>7675</v>
      </c>
      <c r="L68" s="32" t="s">
        <v>1116</v>
      </c>
      <c r="M68" s="31">
        <f>7681</f>
        <v>7681</v>
      </c>
      <c r="N68" s="32" t="s">
        <v>1116</v>
      </c>
      <c r="O68" s="31">
        <f>7540</f>
        <v>7540</v>
      </c>
      <c r="P68" s="32" t="s">
        <v>679</v>
      </c>
      <c r="Q68" s="31">
        <f>7540</f>
        <v>7540</v>
      </c>
      <c r="R68" s="32" t="s">
        <v>679</v>
      </c>
      <c r="S68" s="33">
        <f>7610.5</f>
        <v>7610.5</v>
      </c>
      <c r="T68" s="30">
        <f>200</f>
        <v>200</v>
      </c>
      <c r="U68" s="30" t="str">
        <f>"－"</f>
        <v>－</v>
      </c>
      <c r="V68" s="30">
        <f>1526150</f>
        <v>1526150</v>
      </c>
      <c r="W68" s="30" t="str">
        <f>"－"</f>
        <v>－</v>
      </c>
      <c r="X68" s="34">
        <f>2</f>
        <v>2</v>
      </c>
    </row>
    <row r="69" spans="1:24">
      <c r="A69" s="25" t="s">
        <v>1232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19665</f>
        <v>19665</v>
      </c>
      <c r="L69" s="32" t="s">
        <v>1110</v>
      </c>
      <c r="M69" s="31">
        <f>19920</f>
        <v>19920</v>
      </c>
      <c r="N69" s="32" t="s">
        <v>1115</v>
      </c>
      <c r="O69" s="31">
        <f>18705</f>
        <v>18705</v>
      </c>
      <c r="P69" s="32" t="s">
        <v>679</v>
      </c>
      <c r="Q69" s="31">
        <f>19430</f>
        <v>19430</v>
      </c>
      <c r="R69" s="32" t="s">
        <v>681</v>
      </c>
      <c r="S69" s="33">
        <f>19454.32</f>
        <v>19454.32</v>
      </c>
      <c r="T69" s="30">
        <f>2076</f>
        <v>2076</v>
      </c>
      <c r="U69" s="30">
        <f>4</f>
        <v>4</v>
      </c>
      <c r="V69" s="30">
        <f>40346843</f>
        <v>40346843</v>
      </c>
      <c r="W69" s="30">
        <f>78778</f>
        <v>78778</v>
      </c>
      <c r="X69" s="34">
        <f>22</f>
        <v>22</v>
      </c>
    </row>
    <row r="70" spans="1:24">
      <c r="A70" s="25" t="s">
        <v>1232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31030</f>
        <v>31030</v>
      </c>
      <c r="L70" s="32" t="s">
        <v>1110</v>
      </c>
      <c r="M70" s="31">
        <f>31080</f>
        <v>31080</v>
      </c>
      <c r="N70" s="32" t="s">
        <v>675</v>
      </c>
      <c r="O70" s="31">
        <f>29500</f>
        <v>29500</v>
      </c>
      <c r="P70" s="32" t="s">
        <v>1114</v>
      </c>
      <c r="Q70" s="31">
        <f>30390</f>
        <v>30390</v>
      </c>
      <c r="R70" s="32" t="s">
        <v>681</v>
      </c>
      <c r="S70" s="33">
        <f>30341.36</f>
        <v>30341.360000000001</v>
      </c>
      <c r="T70" s="30">
        <f>85832</f>
        <v>85832</v>
      </c>
      <c r="U70" s="30">
        <f>30582</f>
        <v>30582</v>
      </c>
      <c r="V70" s="30">
        <f>2588912042</f>
        <v>2588912042</v>
      </c>
      <c r="W70" s="30">
        <f>920471157</f>
        <v>920471157</v>
      </c>
      <c r="X70" s="34">
        <f>22</f>
        <v>22</v>
      </c>
    </row>
    <row r="71" spans="1:24">
      <c r="A71" s="25" t="s">
        <v>1232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10870</f>
        <v>10870</v>
      </c>
      <c r="L71" s="32" t="s">
        <v>1110</v>
      </c>
      <c r="M71" s="31">
        <f>11700</f>
        <v>11700</v>
      </c>
      <c r="N71" s="32" t="s">
        <v>682</v>
      </c>
      <c r="O71" s="31">
        <f>10590</f>
        <v>10590</v>
      </c>
      <c r="P71" s="32" t="s">
        <v>681</v>
      </c>
      <c r="Q71" s="31">
        <f>10590</f>
        <v>10590</v>
      </c>
      <c r="R71" s="32" t="s">
        <v>681</v>
      </c>
      <c r="S71" s="33">
        <f>10942.5</f>
        <v>10942.5</v>
      </c>
      <c r="T71" s="30">
        <f>10160</f>
        <v>10160</v>
      </c>
      <c r="U71" s="30">
        <f>10</f>
        <v>10</v>
      </c>
      <c r="V71" s="30">
        <f>111059750</f>
        <v>111059750</v>
      </c>
      <c r="W71" s="30">
        <f>109800</f>
        <v>109800</v>
      </c>
      <c r="X71" s="34">
        <f>22</f>
        <v>22</v>
      </c>
    </row>
    <row r="72" spans="1:24">
      <c r="A72" s="25" t="s">
        <v>1232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1909</f>
        <v>1909</v>
      </c>
      <c r="L72" s="32" t="s">
        <v>1110</v>
      </c>
      <c r="M72" s="31">
        <f>1909</f>
        <v>1909</v>
      </c>
      <c r="N72" s="32" t="s">
        <v>1110</v>
      </c>
      <c r="O72" s="31">
        <f>1802</f>
        <v>1802</v>
      </c>
      <c r="P72" s="32" t="s">
        <v>883</v>
      </c>
      <c r="Q72" s="31">
        <f>1806</f>
        <v>1806</v>
      </c>
      <c r="R72" s="32" t="s">
        <v>681</v>
      </c>
      <c r="S72" s="33">
        <f>1843</f>
        <v>1843</v>
      </c>
      <c r="T72" s="30">
        <f>1076801</f>
        <v>1076801</v>
      </c>
      <c r="U72" s="30">
        <f>462791</f>
        <v>462791</v>
      </c>
      <c r="V72" s="30">
        <f>1966771431</f>
        <v>1966771431</v>
      </c>
      <c r="W72" s="30">
        <f>836938713</f>
        <v>836938713</v>
      </c>
      <c r="X72" s="34">
        <f>22</f>
        <v>22</v>
      </c>
    </row>
    <row r="73" spans="1:24">
      <c r="A73" s="25" t="s">
        <v>1232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1904</f>
        <v>1904</v>
      </c>
      <c r="L73" s="32" t="s">
        <v>1110</v>
      </c>
      <c r="M73" s="31">
        <f>1907</f>
        <v>1907</v>
      </c>
      <c r="N73" s="32" t="s">
        <v>1110</v>
      </c>
      <c r="O73" s="31">
        <f>1850</f>
        <v>1850</v>
      </c>
      <c r="P73" s="32" t="s">
        <v>778</v>
      </c>
      <c r="Q73" s="31">
        <f>1854</f>
        <v>1854</v>
      </c>
      <c r="R73" s="32" t="s">
        <v>681</v>
      </c>
      <c r="S73" s="33">
        <f>1872.36</f>
        <v>1872.36</v>
      </c>
      <c r="T73" s="30">
        <f>566735</f>
        <v>566735</v>
      </c>
      <c r="U73" s="30">
        <f>20001</f>
        <v>20001</v>
      </c>
      <c r="V73" s="30">
        <f>1062324346</f>
        <v>1062324346</v>
      </c>
      <c r="W73" s="30">
        <f>37971893</f>
        <v>37971893</v>
      </c>
      <c r="X73" s="34">
        <f>22</f>
        <v>22</v>
      </c>
    </row>
    <row r="74" spans="1:24">
      <c r="A74" s="25" t="s">
        <v>1232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21040</f>
        <v>21040</v>
      </c>
      <c r="L74" s="32" t="s">
        <v>1110</v>
      </c>
      <c r="M74" s="31">
        <f>22500</f>
        <v>22500</v>
      </c>
      <c r="N74" s="32" t="s">
        <v>1115</v>
      </c>
      <c r="O74" s="31">
        <f>20835</f>
        <v>20835</v>
      </c>
      <c r="P74" s="32" t="s">
        <v>679</v>
      </c>
      <c r="Q74" s="31">
        <f>21470</f>
        <v>21470</v>
      </c>
      <c r="R74" s="32" t="s">
        <v>681</v>
      </c>
      <c r="S74" s="33">
        <f>21436.36</f>
        <v>21436.36</v>
      </c>
      <c r="T74" s="30">
        <f>7291</f>
        <v>7291</v>
      </c>
      <c r="U74" s="30" t="str">
        <f>"－"</f>
        <v>－</v>
      </c>
      <c r="V74" s="30">
        <f>155868235</f>
        <v>155868235</v>
      </c>
      <c r="W74" s="30" t="str">
        <f>"－"</f>
        <v>－</v>
      </c>
      <c r="X74" s="34">
        <f>22</f>
        <v>22</v>
      </c>
    </row>
    <row r="75" spans="1:24">
      <c r="A75" s="25" t="s">
        <v>1232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9452</f>
        <v>9452</v>
      </c>
      <c r="L75" s="32" t="s">
        <v>1110</v>
      </c>
      <c r="M75" s="31">
        <f>9535</f>
        <v>9535</v>
      </c>
      <c r="N75" s="32" t="s">
        <v>1115</v>
      </c>
      <c r="O75" s="31">
        <f>9249</f>
        <v>9249</v>
      </c>
      <c r="P75" s="32" t="s">
        <v>681</v>
      </c>
      <c r="Q75" s="31">
        <f>9269</f>
        <v>9269</v>
      </c>
      <c r="R75" s="32" t="s">
        <v>681</v>
      </c>
      <c r="S75" s="33">
        <f>9340.09</f>
        <v>9340.09</v>
      </c>
      <c r="T75" s="30">
        <f>2240</f>
        <v>2240</v>
      </c>
      <c r="U75" s="30" t="str">
        <f>"－"</f>
        <v>－</v>
      </c>
      <c r="V75" s="30">
        <f>21004226</f>
        <v>21004226</v>
      </c>
      <c r="W75" s="30" t="str">
        <f>"－"</f>
        <v>－</v>
      </c>
      <c r="X75" s="34">
        <f>22</f>
        <v>22</v>
      </c>
    </row>
    <row r="76" spans="1:24">
      <c r="A76" s="25" t="s">
        <v>1232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11460</f>
        <v>11460</v>
      </c>
      <c r="L76" s="32" t="s">
        <v>1110</v>
      </c>
      <c r="M76" s="31">
        <f>12965</f>
        <v>12965</v>
      </c>
      <c r="N76" s="32" t="s">
        <v>681</v>
      </c>
      <c r="O76" s="31">
        <f>11460</f>
        <v>11460</v>
      </c>
      <c r="P76" s="32" t="s">
        <v>1110</v>
      </c>
      <c r="Q76" s="31">
        <f>12915</f>
        <v>12915</v>
      </c>
      <c r="R76" s="32" t="s">
        <v>681</v>
      </c>
      <c r="S76" s="33">
        <f>12186.14</f>
        <v>12186.14</v>
      </c>
      <c r="T76" s="30">
        <f>5024361</f>
        <v>5024361</v>
      </c>
      <c r="U76" s="30">
        <f>258272</f>
        <v>258272</v>
      </c>
      <c r="V76" s="30">
        <f>61871989064</f>
        <v>61871989064</v>
      </c>
      <c r="W76" s="30">
        <f>3241721154</f>
        <v>3241721154</v>
      </c>
      <c r="X76" s="34">
        <f>22</f>
        <v>22</v>
      </c>
    </row>
    <row r="77" spans="1:24">
      <c r="A77" s="25" t="s">
        <v>1232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4180</f>
        <v>4180</v>
      </c>
      <c r="L77" s="32" t="s">
        <v>1110</v>
      </c>
      <c r="M77" s="31">
        <f>4755</f>
        <v>4755</v>
      </c>
      <c r="N77" s="32" t="s">
        <v>777</v>
      </c>
      <c r="O77" s="31">
        <f>4165</f>
        <v>4165</v>
      </c>
      <c r="P77" s="32" t="s">
        <v>876</v>
      </c>
      <c r="Q77" s="31">
        <f>4565</f>
        <v>4565</v>
      </c>
      <c r="R77" s="32" t="s">
        <v>681</v>
      </c>
      <c r="S77" s="33">
        <f>4421.59</f>
        <v>4421.59</v>
      </c>
      <c r="T77" s="30">
        <f>635016</f>
        <v>635016</v>
      </c>
      <c r="U77" s="30">
        <f>11</f>
        <v>11</v>
      </c>
      <c r="V77" s="30">
        <f>2837974085</f>
        <v>2837974085</v>
      </c>
      <c r="W77" s="30">
        <f>46650</f>
        <v>46650</v>
      </c>
      <c r="X77" s="34">
        <f>22</f>
        <v>22</v>
      </c>
    </row>
    <row r="78" spans="1:24">
      <c r="A78" s="25" t="s">
        <v>1232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13295</f>
        <v>13295</v>
      </c>
      <c r="L78" s="32" t="s">
        <v>1110</v>
      </c>
      <c r="M78" s="31">
        <f>15735</f>
        <v>15735</v>
      </c>
      <c r="N78" s="32" t="s">
        <v>778</v>
      </c>
      <c r="O78" s="31">
        <f>13250</f>
        <v>13250</v>
      </c>
      <c r="P78" s="32" t="s">
        <v>1116</v>
      </c>
      <c r="Q78" s="31">
        <f>15265</f>
        <v>15265</v>
      </c>
      <c r="R78" s="32" t="s">
        <v>681</v>
      </c>
      <c r="S78" s="33">
        <f>14372.73</f>
        <v>14372.73</v>
      </c>
      <c r="T78" s="30">
        <f>473751</f>
        <v>473751</v>
      </c>
      <c r="U78" s="30">
        <f>56</f>
        <v>56</v>
      </c>
      <c r="V78" s="30">
        <f>6970503220</f>
        <v>6970503220</v>
      </c>
      <c r="W78" s="30">
        <f>797150</f>
        <v>797150</v>
      </c>
      <c r="X78" s="34">
        <f>22</f>
        <v>22</v>
      </c>
    </row>
    <row r="79" spans="1:24">
      <c r="A79" s="25" t="s">
        <v>1232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42850</f>
        <v>42850</v>
      </c>
      <c r="L79" s="32" t="s">
        <v>1110</v>
      </c>
      <c r="M79" s="31">
        <f>54760</f>
        <v>54760</v>
      </c>
      <c r="N79" s="32" t="s">
        <v>777</v>
      </c>
      <c r="O79" s="31">
        <f>42200</f>
        <v>42200</v>
      </c>
      <c r="P79" s="32" t="s">
        <v>1116</v>
      </c>
      <c r="Q79" s="31">
        <f>50310</f>
        <v>50310</v>
      </c>
      <c r="R79" s="32" t="s">
        <v>681</v>
      </c>
      <c r="S79" s="33">
        <f>46678.64</f>
        <v>46678.64</v>
      </c>
      <c r="T79" s="30">
        <f>32256</f>
        <v>32256</v>
      </c>
      <c r="U79" s="30">
        <f>117</f>
        <v>117</v>
      </c>
      <c r="V79" s="30">
        <f>1607463440</f>
        <v>1607463440</v>
      </c>
      <c r="W79" s="30">
        <f>5719650</f>
        <v>5719650</v>
      </c>
      <c r="X79" s="34">
        <f>22</f>
        <v>22</v>
      </c>
    </row>
    <row r="80" spans="1:24">
      <c r="A80" s="25" t="s">
        <v>1232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29080</f>
        <v>29080</v>
      </c>
      <c r="L80" s="32" t="s">
        <v>1110</v>
      </c>
      <c r="M80" s="31">
        <f>31980</f>
        <v>31980</v>
      </c>
      <c r="N80" s="32" t="s">
        <v>777</v>
      </c>
      <c r="O80" s="31">
        <f>28560</f>
        <v>28560</v>
      </c>
      <c r="P80" s="32" t="s">
        <v>1116</v>
      </c>
      <c r="Q80" s="31">
        <f>31290</f>
        <v>31290</v>
      </c>
      <c r="R80" s="32" t="s">
        <v>681</v>
      </c>
      <c r="S80" s="33">
        <f>30489.09</f>
        <v>30489.09</v>
      </c>
      <c r="T80" s="30">
        <f>845944</f>
        <v>845944</v>
      </c>
      <c r="U80" s="30">
        <f>6309</f>
        <v>6309</v>
      </c>
      <c r="V80" s="30">
        <f>25865659265</f>
        <v>25865659265</v>
      </c>
      <c r="W80" s="30">
        <f>194253480</f>
        <v>194253480</v>
      </c>
      <c r="X80" s="34">
        <f>22</f>
        <v>22</v>
      </c>
    </row>
    <row r="81" spans="1:24">
      <c r="A81" s="25" t="s">
        <v>1232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59060</f>
        <v>59060</v>
      </c>
      <c r="L81" s="32" t="s">
        <v>1110</v>
      </c>
      <c r="M81" s="31">
        <f>63390</f>
        <v>63390</v>
      </c>
      <c r="N81" s="32" t="s">
        <v>778</v>
      </c>
      <c r="O81" s="31">
        <f>58650</f>
        <v>58650</v>
      </c>
      <c r="P81" s="32" t="s">
        <v>1116</v>
      </c>
      <c r="Q81" s="31">
        <f>62800</f>
        <v>62800</v>
      </c>
      <c r="R81" s="32" t="s">
        <v>681</v>
      </c>
      <c r="S81" s="33">
        <f>61836.36</f>
        <v>61836.36</v>
      </c>
      <c r="T81" s="30">
        <f>36221</f>
        <v>36221</v>
      </c>
      <c r="U81" s="30">
        <f>515</f>
        <v>515</v>
      </c>
      <c r="V81" s="30">
        <f>2229554960</f>
        <v>2229554960</v>
      </c>
      <c r="W81" s="30">
        <f>30575400</f>
        <v>30575400</v>
      </c>
      <c r="X81" s="34">
        <f>22</f>
        <v>22</v>
      </c>
    </row>
    <row r="82" spans="1:24">
      <c r="A82" s="25" t="s">
        <v>1232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9013</f>
        <v>9013</v>
      </c>
      <c r="L82" s="32" t="s">
        <v>1110</v>
      </c>
      <c r="M82" s="31">
        <f>9812</f>
        <v>9812</v>
      </c>
      <c r="N82" s="32" t="s">
        <v>1114</v>
      </c>
      <c r="O82" s="31">
        <f>8916</f>
        <v>8916</v>
      </c>
      <c r="P82" s="32" t="s">
        <v>1116</v>
      </c>
      <c r="Q82" s="31">
        <f>9671</f>
        <v>9671</v>
      </c>
      <c r="R82" s="32" t="s">
        <v>681</v>
      </c>
      <c r="S82" s="33">
        <f>9460.45</f>
        <v>9460.4500000000007</v>
      </c>
      <c r="T82" s="30">
        <f>1208790</f>
        <v>1208790</v>
      </c>
      <c r="U82" s="30">
        <f>541770</f>
        <v>541770</v>
      </c>
      <c r="V82" s="30">
        <f>11550827110</f>
        <v>11550827110</v>
      </c>
      <c r="W82" s="30">
        <f>5223716470</f>
        <v>5223716470</v>
      </c>
      <c r="X82" s="34">
        <f>22</f>
        <v>22</v>
      </c>
    </row>
    <row r="83" spans="1:24">
      <c r="A83" s="25" t="s">
        <v>1232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5572</f>
        <v>5572</v>
      </c>
      <c r="L83" s="32" t="s">
        <v>1110</v>
      </c>
      <c r="M83" s="31">
        <f>5978</f>
        <v>5978</v>
      </c>
      <c r="N83" s="32" t="s">
        <v>1114</v>
      </c>
      <c r="O83" s="31">
        <f>5529</f>
        <v>5529</v>
      </c>
      <c r="P83" s="32" t="s">
        <v>1116</v>
      </c>
      <c r="Q83" s="31">
        <f>5911</f>
        <v>5911</v>
      </c>
      <c r="R83" s="32" t="s">
        <v>681</v>
      </c>
      <c r="S83" s="33">
        <f>5798.18</f>
        <v>5798.18</v>
      </c>
      <c r="T83" s="30">
        <f>163580</f>
        <v>163580</v>
      </c>
      <c r="U83" s="30">
        <f>7500</f>
        <v>7500</v>
      </c>
      <c r="V83" s="30">
        <f>950560580</f>
        <v>950560580</v>
      </c>
      <c r="W83" s="30">
        <f>43467210</f>
        <v>43467210</v>
      </c>
      <c r="X83" s="34">
        <f>22</f>
        <v>22</v>
      </c>
    </row>
    <row r="84" spans="1:24">
      <c r="A84" s="25" t="s">
        <v>1232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5181</f>
        <v>5181</v>
      </c>
      <c r="L84" s="32" t="s">
        <v>1110</v>
      </c>
      <c r="M84" s="31">
        <f>5254</f>
        <v>5254</v>
      </c>
      <c r="N84" s="32" t="s">
        <v>1114</v>
      </c>
      <c r="O84" s="31">
        <f>4828</f>
        <v>4828</v>
      </c>
      <c r="P84" s="32" t="s">
        <v>1114</v>
      </c>
      <c r="Q84" s="31">
        <f>5013</f>
        <v>5013</v>
      </c>
      <c r="R84" s="32" t="s">
        <v>681</v>
      </c>
      <c r="S84" s="33">
        <f>5055.47</f>
        <v>5055.47</v>
      </c>
      <c r="T84" s="30">
        <f>13270</f>
        <v>13270</v>
      </c>
      <c r="U84" s="30">
        <f>10</f>
        <v>10</v>
      </c>
      <c r="V84" s="30">
        <f>66211720</f>
        <v>66211720</v>
      </c>
      <c r="W84" s="30">
        <f>47010</f>
        <v>47010</v>
      </c>
      <c r="X84" s="34">
        <f>19</f>
        <v>19</v>
      </c>
    </row>
    <row r="85" spans="1:24">
      <c r="A85" s="25" t="s">
        <v>1232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4637</f>
        <v>4637</v>
      </c>
      <c r="L85" s="32" t="s">
        <v>1110</v>
      </c>
      <c r="M85" s="31">
        <f>4950</f>
        <v>4950</v>
      </c>
      <c r="N85" s="32" t="s">
        <v>1114</v>
      </c>
      <c r="O85" s="31">
        <f>4585</f>
        <v>4585</v>
      </c>
      <c r="P85" s="32" t="s">
        <v>1116</v>
      </c>
      <c r="Q85" s="31">
        <f>4879</f>
        <v>4879</v>
      </c>
      <c r="R85" s="32" t="s">
        <v>681</v>
      </c>
      <c r="S85" s="33">
        <f>4798.18</f>
        <v>4798.18</v>
      </c>
      <c r="T85" s="30">
        <f>71660</f>
        <v>71660</v>
      </c>
      <c r="U85" s="30" t="str">
        <f>"－"</f>
        <v>－</v>
      </c>
      <c r="V85" s="30">
        <f>343383830</f>
        <v>343383830</v>
      </c>
      <c r="W85" s="30" t="str">
        <f>"－"</f>
        <v>－</v>
      </c>
      <c r="X85" s="34">
        <f>22</f>
        <v>22</v>
      </c>
    </row>
    <row r="86" spans="1:24">
      <c r="A86" s="25" t="s">
        <v>1232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2419</f>
        <v>2419</v>
      </c>
      <c r="L86" s="32" t="s">
        <v>1110</v>
      </c>
      <c r="M86" s="31">
        <f>2495.5</f>
        <v>2495.5</v>
      </c>
      <c r="N86" s="32" t="s">
        <v>682</v>
      </c>
      <c r="O86" s="31">
        <f>2390</f>
        <v>2390</v>
      </c>
      <c r="P86" s="32" t="s">
        <v>883</v>
      </c>
      <c r="Q86" s="31">
        <f>2408</f>
        <v>2408</v>
      </c>
      <c r="R86" s="32" t="s">
        <v>681</v>
      </c>
      <c r="S86" s="33">
        <f>2442.3</f>
        <v>2442.3000000000002</v>
      </c>
      <c r="T86" s="30">
        <f>41940</f>
        <v>41940</v>
      </c>
      <c r="U86" s="30" t="str">
        <f>"－"</f>
        <v>－</v>
      </c>
      <c r="V86" s="30">
        <f>102740740</f>
        <v>102740740</v>
      </c>
      <c r="W86" s="30" t="str">
        <f>"－"</f>
        <v>－</v>
      </c>
      <c r="X86" s="34">
        <f>22</f>
        <v>22</v>
      </c>
    </row>
    <row r="87" spans="1:24">
      <c r="A87" s="25" t="s">
        <v>1232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82180</f>
        <v>82180</v>
      </c>
      <c r="L87" s="32" t="s">
        <v>1110</v>
      </c>
      <c r="M87" s="31">
        <f>89600</f>
        <v>89600</v>
      </c>
      <c r="N87" s="32" t="s">
        <v>1114</v>
      </c>
      <c r="O87" s="31">
        <f>81370</f>
        <v>81370</v>
      </c>
      <c r="P87" s="32" t="s">
        <v>1116</v>
      </c>
      <c r="Q87" s="31">
        <f>88300</f>
        <v>88300</v>
      </c>
      <c r="R87" s="32" t="s">
        <v>681</v>
      </c>
      <c r="S87" s="33">
        <f>86420</f>
        <v>86420</v>
      </c>
      <c r="T87" s="30">
        <f>70519</f>
        <v>70519</v>
      </c>
      <c r="U87" s="30">
        <f>5</f>
        <v>5</v>
      </c>
      <c r="V87" s="30">
        <f>6104733625</f>
        <v>6104733625</v>
      </c>
      <c r="W87" s="30">
        <f>434825</f>
        <v>434825</v>
      </c>
      <c r="X87" s="34">
        <f>22</f>
        <v>22</v>
      </c>
    </row>
    <row r="88" spans="1:24">
      <c r="A88" s="25" t="s">
        <v>1232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3600</f>
        <v>3600</v>
      </c>
      <c r="L88" s="32" t="s">
        <v>1110</v>
      </c>
      <c r="M88" s="31">
        <f>3845</f>
        <v>3845</v>
      </c>
      <c r="N88" s="32" t="s">
        <v>678</v>
      </c>
      <c r="O88" s="31">
        <f>3550</f>
        <v>3550</v>
      </c>
      <c r="P88" s="32" t="s">
        <v>675</v>
      </c>
      <c r="Q88" s="31">
        <f>3740</f>
        <v>3740</v>
      </c>
      <c r="R88" s="32" t="s">
        <v>681</v>
      </c>
      <c r="S88" s="33">
        <f>3729.32</f>
        <v>3729.32</v>
      </c>
      <c r="T88" s="30">
        <f>9887</f>
        <v>9887</v>
      </c>
      <c r="U88" s="30" t="str">
        <f>"－"</f>
        <v>－</v>
      </c>
      <c r="V88" s="30">
        <f>36764890</f>
        <v>36764890</v>
      </c>
      <c r="W88" s="30" t="str">
        <f>"－"</f>
        <v>－</v>
      </c>
      <c r="X88" s="34">
        <f>22</f>
        <v>22</v>
      </c>
    </row>
    <row r="89" spans="1:24">
      <c r="A89" s="25" t="s">
        <v>1232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5500</f>
        <v>5500</v>
      </c>
      <c r="L89" s="32" t="s">
        <v>1110</v>
      </c>
      <c r="M89" s="31">
        <f>5590</f>
        <v>5590</v>
      </c>
      <c r="N89" s="32" t="s">
        <v>1145</v>
      </c>
      <c r="O89" s="31">
        <f>5310</f>
        <v>5310</v>
      </c>
      <c r="P89" s="32" t="s">
        <v>883</v>
      </c>
      <c r="Q89" s="31">
        <f>5360</f>
        <v>5360</v>
      </c>
      <c r="R89" s="32" t="s">
        <v>681</v>
      </c>
      <c r="S89" s="33">
        <f>5455.91</f>
        <v>5455.91</v>
      </c>
      <c r="T89" s="30">
        <f>6666</f>
        <v>6666</v>
      </c>
      <c r="U89" s="30" t="str">
        <f>"－"</f>
        <v>－</v>
      </c>
      <c r="V89" s="30">
        <f>36444740</f>
        <v>36444740</v>
      </c>
      <c r="W89" s="30" t="str">
        <f>"－"</f>
        <v>－</v>
      </c>
      <c r="X89" s="34">
        <f>22</f>
        <v>22</v>
      </c>
    </row>
    <row r="90" spans="1:24">
      <c r="A90" s="25" t="s">
        <v>1232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2259</f>
        <v>2259</v>
      </c>
      <c r="L90" s="32" t="s">
        <v>1110</v>
      </c>
      <c r="M90" s="31">
        <f>2348</f>
        <v>2348</v>
      </c>
      <c r="N90" s="32" t="s">
        <v>681</v>
      </c>
      <c r="O90" s="31">
        <f>2134</f>
        <v>2134</v>
      </c>
      <c r="P90" s="32" t="s">
        <v>1114</v>
      </c>
      <c r="Q90" s="31">
        <f>2347</f>
        <v>2347</v>
      </c>
      <c r="R90" s="32" t="s">
        <v>681</v>
      </c>
      <c r="S90" s="33">
        <f>2254.95</f>
        <v>2254.9499999999998</v>
      </c>
      <c r="T90" s="30">
        <f>710814</f>
        <v>710814</v>
      </c>
      <c r="U90" s="30">
        <f>50220</f>
        <v>50220</v>
      </c>
      <c r="V90" s="30">
        <f>1603463087</f>
        <v>1603463087</v>
      </c>
      <c r="W90" s="30">
        <f>116232235</f>
        <v>116232235</v>
      </c>
      <c r="X90" s="34">
        <f>22</f>
        <v>22</v>
      </c>
    </row>
    <row r="91" spans="1:24">
      <c r="A91" s="25" t="s">
        <v>1232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48880</f>
        <v>48880</v>
      </c>
      <c r="L91" s="32" t="s">
        <v>1110</v>
      </c>
      <c r="M91" s="31">
        <f>50200</f>
        <v>50200</v>
      </c>
      <c r="N91" s="32" t="s">
        <v>1114</v>
      </c>
      <c r="O91" s="31">
        <f>48470</f>
        <v>48470</v>
      </c>
      <c r="P91" s="32" t="s">
        <v>1110</v>
      </c>
      <c r="Q91" s="31">
        <f>49850</f>
        <v>49850</v>
      </c>
      <c r="R91" s="32" t="s">
        <v>681</v>
      </c>
      <c r="S91" s="33">
        <f>49433.64</f>
        <v>49433.64</v>
      </c>
      <c r="T91" s="30">
        <f>14491</f>
        <v>14491</v>
      </c>
      <c r="U91" s="30">
        <f>138</f>
        <v>138</v>
      </c>
      <c r="V91" s="30">
        <f>716987810</f>
        <v>716987810</v>
      </c>
      <c r="W91" s="30">
        <f>6884600</f>
        <v>6884600</v>
      </c>
      <c r="X91" s="34">
        <f>22</f>
        <v>22</v>
      </c>
    </row>
    <row r="92" spans="1:24">
      <c r="A92" s="25" t="s">
        <v>1232</v>
      </c>
      <c r="B92" s="25" t="s">
        <v>259</v>
      </c>
      <c r="C92" s="25" t="s">
        <v>260</v>
      </c>
      <c r="D92" s="25" t="s">
        <v>261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445.5</f>
        <v>445.5</v>
      </c>
      <c r="L92" s="32" t="s">
        <v>1110</v>
      </c>
      <c r="M92" s="31">
        <f>475.4</f>
        <v>475.4</v>
      </c>
      <c r="N92" s="32" t="s">
        <v>1115</v>
      </c>
      <c r="O92" s="31">
        <f>424.9</f>
        <v>424.9</v>
      </c>
      <c r="P92" s="32" t="s">
        <v>679</v>
      </c>
      <c r="Q92" s="31">
        <f>455.7</f>
        <v>455.7</v>
      </c>
      <c r="R92" s="32" t="s">
        <v>681</v>
      </c>
      <c r="S92" s="33">
        <f>451.6</f>
        <v>451.6</v>
      </c>
      <c r="T92" s="30">
        <f>97654910</f>
        <v>97654910</v>
      </c>
      <c r="U92" s="30">
        <f>1540</f>
        <v>1540</v>
      </c>
      <c r="V92" s="30">
        <f>44083313044</f>
        <v>44083313044</v>
      </c>
      <c r="W92" s="30">
        <f>678239</f>
        <v>678239</v>
      </c>
      <c r="X92" s="34">
        <f>22</f>
        <v>22</v>
      </c>
    </row>
    <row r="93" spans="1:24">
      <c r="A93" s="25" t="s">
        <v>1232</v>
      </c>
      <c r="B93" s="25" t="s">
        <v>262</v>
      </c>
      <c r="C93" s="25" t="s">
        <v>263</v>
      </c>
      <c r="D93" s="25" t="s">
        <v>264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1275.5</f>
        <v>1275.5</v>
      </c>
      <c r="L93" s="32" t="s">
        <v>1110</v>
      </c>
      <c r="M93" s="31">
        <f>1302</f>
        <v>1302</v>
      </c>
      <c r="N93" s="32" t="s">
        <v>1114</v>
      </c>
      <c r="O93" s="31">
        <f>1233</f>
        <v>1233</v>
      </c>
      <c r="P93" s="32" t="s">
        <v>1115</v>
      </c>
      <c r="Q93" s="31">
        <f>1259.5</f>
        <v>1259.5</v>
      </c>
      <c r="R93" s="32" t="s">
        <v>681</v>
      </c>
      <c r="S93" s="33">
        <f>1264.5</f>
        <v>1264.5</v>
      </c>
      <c r="T93" s="30">
        <f>1520000</f>
        <v>1520000</v>
      </c>
      <c r="U93" s="30">
        <f>201420</f>
        <v>201420</v>
      </c>
      <c r="V93" s="30">
        <f>1932350050</f>
        <v>1932350050</v>
      </c>
      <c r="W93" s="30">
        <f>261874400</f>
        <v>261874400</v>
      </c>
      <c r="X93" s="34">
        <f>22</f>
        <v>22</v>
      </c>
    </row>
    <row r="94" spans="1:24">
      <c r="A94" s="25" t="s">
        <v>1232</v>
      </c>
      <c r="B94" s="25" t="s">
        <v>265</v>
      </c>
      <c r="C94" s="25" t="s">
        <v>266</v>
      </c>
      <c r="D94" s="25" t="s">
        <v>267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26190</f>
        <v>26190</v>
      </c>
      <c r="L94" s="32" t="s">
        <v>1110</v>
      </c>
      <c r="M94" s="31">
        <f>28890</f>
        <v>28890</v>
      </c>
      <c r="N94" s="32" t="s">
        <v>875</v>
      </c>
      <c r="O94" s="31">
        <f>25310</f>
        <v>25310</v>
      </c>
      <c r="P94" s="32" t="s">
        <v>1116</v>
      </c>
      <c r="Q94" s="31">
        <f>27165</f>
        <v>27165</v>
      </c>
      <c r="R94" s="32" t="s">
        <v>681</v>
      </c>
      <c r="S94" s="33">
        <f>26898.64</f>
        <v>26898.639999999999</v>
      </c>
      <c r="T94" s="30">
        <f>130493505</f>
        <v>130493505</v>
      </c>
      <c r="U94" s="30">
        <f>552769</f>
        <v>552769</v>
      </c>
      <c r="V94" s="30">
        <f>3515482007192</f>
        <v>3515482007192</v>
      </c>
      <c r="W94" s="30">
        <f>14920276837</f>
        <v>14920276837</v>
      </c>
      <c r="X94" s="34">
        <f>22</f>
        <v>22</v>
      </c>
    </row>
    <row r="95" spans="1:24">
      <c r="A95" s="25" t="s">
        <v>1232</v>
      </c>
      <c r="B95" s="25" t="s">
        <v>268</v>
      </c>
      <c r="C95" s="25" t="s">
        <v>269</v>
      </c>
      <c r="D95" s="25" t="s">
        <v>270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596</f>
        <v>596</v>
      </c>
      <c r="L95" s="32" t="s">
        <v>1110</v>
      </c>
      <c r="M95" s="31">
        <f>606</f>
        <v>606</v>
      </c>
      <c r="N95" s="32" t="s">
        <v>1116</v>
      </c>
      <c r="O95" s="31">
        <f>566</f>
        <v>566</v>
      </c>
      <c r="P95" s="32" t="s">
        <v>875</v>
      </c>
      <c r="Q95" s="31">
        <f>581</f>
        <v>581</v>
      </c>
      <c r="R95" s="32" t="s">
        <v>681</v>
      </c>
      <c r="S95" s="33">
        <f>586.27</f>
        <v>586.27</v>
      </c>
      <c r="T95" s="30">
        <f>75131624</f>
        <v>75131624</v>
      </c>
      <c r="U95" s="30">
        <f>55371989</f>
        <v>55371989</v>
      </c>
      <c r="V95" s="30">
        <f>44117563434</f>
        <v>44117563434</v>
      </c>
      <c r="W95" s="30">
        <f>32515411212</f>
        <v>32515411212</v>
      </c>
      <c r="X95" s="34">
        <f>22</f>
        <v>22</v>
      </c>
    </row>
    <row r="96" spans="1:24">
      <c r="A96" s="25" t="s">
        <v>1232</v>
      </c>
      <c r="B96" s="25" t="s">
        <v>271</v>
      </c>
      <c r="C96" s="25" t="s">
        <v>272</v>
      </c>
      <c r="D96" s="25" t="s">
        <v>273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5482</f>
        <v>5482</v>
      </c>
      <c r="L96" s="32" t="s">
        <v>1110</v>
      </c>
      <c r="M96" s="31">
        <f>7560</f>
        <v>7560</v>
      </c>
      <c r="N96" s="32" t="s">
        <v>1113</v>
      </c>
      <c r="O96" s="31">
        <f>5225</f>
        <v>5225</v>
      </c>
      <c r="P96" s="32" t="s">
        <v>678</v>
      </c>
      <c r="Q96" s="31">
        <f>5580</f>
        <v>5580</v>
      </c>
      <c r="R96" s="32" t="s">
        <v>681</v>
      </c>
      <c r="S96" s="33">
        <f>5889.91</f>
        <v>5889.91</v>
      </c>
      <c r="T96" s="30">
        <f>1905370</f>
        <v>1905370</v>
      </c>
      <c r="U96" s="30">
        <f>160</f>
        <v>160</v>
      </c>
      <c r="V96" s="30">
        <f>11839304660</f>
        <v>11839304660</v>
      </c>
      <c r="W96" s="30">
        <f>1081140</f>
        <v>1081140</v>
      </c>
      <c r="X96" s="34">
        <f>22</f>
        <v>22</v>
      </c>
    </row>
    <row r="97" spans="1:24">
      <c r="A97" s="25" t="s">
        <v>1232</v>
      </c>
      <c r="B97" s="25" t="s">
        <v>274</v>
      </c>
      <c r="C97" s="25" t="s">
        <v>275</v>
      </c>
      <c r="D97" s="25" t="s">
        <v>276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9692</f>
        <v>9692</v>
      </c>
      <c r="L97" s="32" t="s">
        <v>1110</v>
      </c>
      <c r="M97" s="31">
        <f>10125</f>
        <v>10125</v>
      </c>
      <c r="N97" s="32" t="s">
        <v>678</v>
      </c>
      <c r="O97" s="31">
        <f>8551</f>
        <v>8551</v>
      </c>
      <c r="P97" s="32" t="s">
        <v>1113</v>
      </c>
      <c r="Q97" s="31">
        <f>9994</f>
        <v>9994</v>
      </c>
      <c r="R97" s="32" t="s">
        <v>681</v>
      </c>
      <c r="S97" s="33">
        <f>9578.14</f>
        <v>9578.14</v>
      </c>
      <c r="T97" s="30">
        <f>467390</f>
        <v>467390</v>
      </c>
      <c r="U97" s="30">
        <f>80</f>
        <v>80</v>
      </c>
      <c r="V97" s="30">
        <f>4376144840</f>
        <v>4376144840</v>
      </c>
      <c r="W97" s="30">
        <f>764850</f>
        <v>764850</v>
      </c>
      <c r="X97" s="34">
        <f>22</f>
        <v>22</v>
      </c>
    </row>
    <row r="98" spans="1:24">
      <c r="A98" s="25" t="s">
        <v>1232</v>
      </c>
      <c r="B98" s="25" t="s">
        <v>277</v>
      </c>
      <c r="C98" s="25" t="s">
        <v>278</v>
      </c>
      <c r="D98" s="25" t="s">
        <v>972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37570</f>
        <v>37570</v>
      </c>
      <c r="L98" s="32" t="s">
        <v>1110</v>
      </c>
      <c r="M98" s="31">
        <f>38110</f>
        <v>38110</v>
      </c>
      <c r="N98" s="32" t="s">
        <v>1145</v>
      </c>
      <c r="O98" s="31">
        <f>35760</f>
        <v>35760</v>
      </c>
      <c r="P98" s="32" t="s">
        <v>1114</v>
      </c>
      <c r="Q98" s="31">
        <f>37010</f>
        <v>37010</v>
      </c>
      <c r="R98" s="32" t="s">
        <v>681</v>
      </c>
      <c r="S98" s="33">
        <f>37064.09</f>
        <v>37064.089999999997</v>
      </c>
      <c r="T98" s="30">
        <f>142148</f>
        <v>142148</v>
      </c>
      <c r="U98" s="30">
        <f>71105</f>
        <v>71105</v>
      </c>
      <c r="V98" s="30">
        <f>5243540523</f>
        <v>5243540523</v>
      </c>
      <c r="W98" s="30">
        <f>2607503903</f>
        <v>2607503903</v>
      </c>
      <c r="X98" s="34">
        <f>22</f>
        <v>22</v>
      </c>
    </row>
    <row r="99" spans="1:24">
      <c r="A99" s="25" t="s">
        <v>1232</v>
      </c>
      <c r="B99" s="25" t="s">
        <v>279</v>
      </c>
      <c r="C99" s="25" t="s">
        <v>280</v>
      </c>
      <c r="D99" s="25" t="s">
        <v>281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3070</f>
        <v>3070</v>
      </c>
      <c r="L99" s="32" t="s">
        <v>1110</v>
      </c>
      <c r="M99" s="31">
        <f>3230</f>
        <v>3230</v>
      </c>
      <c r="N99" s="32" t="s">
        <v>875</v>
      </c>
      <c r="O99" s="31">
        <f>3020</f>
        <v>3020</v>
      </c>
      <c r="P99" s="32" t="s">
        <v>1114</v>
      </c>
      <c r="Q99" s="31">
        <f>3140</f>
        <v>3140</v>
      </c>
      <c r="R99" s="32" t="s">
        <v>681</v>
      </c>
      <c r="S99" s="33">
        <f>3116.59</f>
        <v>3116.59</v>
      </c>
      <c r="T99" s="30">
        <f>121289</f>
        <v>121289</v>
      </c>
      <c r="U99" s="30">
        <f>142</f>
        <v>142</v>
      </c>
      <c r="V99" s="30">
        <f>377003070</f>
        <v>377003070</v>
      </c>
      <c r="W99" s="30">
        <f>442470</f>
        <v>442470</v>
      </c>
      <c r="X99" s="34">
        <f>22</f>
        <v>22</v>
      </c>
    </row>
    <row r="100" spans="1:24">
      <c r="A100" s="25" t="s">
        <v>1232</v>
      </c>
      <c r="B100" s="25" t="s">
        <v>282</v>
      </c>
      <c r="C100" s="25" t="s">
        <v>283</v>
      </c>
      <c r="D100" s="25" t="s">
        <v>284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281</f>
        <v>281</v>
      </c>
      <c r="L100" s="32" t="s">
        <v>1110</v>
      </c>
      <c r="M100" s="31">
        <f>310.4</f>
        <v>310.39999999999998</v>
      </c>
      <c r="N100" s="32" t="s">
        <v>875</v>
      </c>
      <c r="O100" s="31">
        <f>272</f>
        <v>272</v>
      </c>
      <c r="P100" s="32" t="s">
        <v>1116</v>
      </c>
      <c r="Q100" s="31">
        <f>292.2</f>
        <v>292.2</v>
      </c>
      <c r="R100" s="32" t="s">
        <v>681</v>
      </c>
      <c r="S100" s="33">
        <f>288.99</f>
        <v>288.99</v>
      </c>
      <c r="T100" s="30">
        <f>696110080</f>
        <v>696110080</v>
      </c>
      <c r="U100" s="30">
        <f>5840590</f>
        <v>5840590</v>
      </c>
      <c r="V100" s="30">
        <f>201530499783</f>
        <v>201530499783</v>
      </c>
      <c r="W100" s="30">
        <f>1668848567</f>
        <v>1668848567</v>
      </c>
      <c r="X100" s="34">
        <f>22</f>
        <v>22</v>
      </c>
    </row>
    <row r="101" spans="1:24">
      <c r="A101" s="25" t="s">
        <v>1232</v>
      </c>
      <c r="B101" s="25" t="s">
        <v>285</v>
      </c>
      <c r="C101" s="25" t="s">
        <v>286</v>
      </c>
      <c r="D101" s="25" t="s">
        <v>287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1586.5</f>
        <v>1586.5</v>
      </c>
      <c r="L101" s="32" t="s">
        <v>1110</v>
      </c>
      <c r="M101" s="31">
        <f>1610</f>
        <v>1610</v>
      </c>
      <c r="N101" s="32" t="s">
        <v>1116</v>
      </c>
      <c r="O101" s="31">
        <f>1503</f>
        <v>1503</v>
      </c>
      <c r="P101" s="32" t="s">
        <v>875</v>
      </c>
      <c r="Q101" s="31">
        <f>1547.5</f>
        <v>1547.5</v>
      </c>
      <c r="R101" s="32" t="s">
        <v>681</v>
      </c>
      <c r="S101" s="33">
        <f>1558.39</f>
        <v>1558.39</v>
      </c>
      <c r="T101" s="30">
        <f>11627240</f>
        <v>11627240</v>
      </c>
      <c r="U101" s="30">
        <f>1475760</f>
        <v>1475760</v>
      </c>
      <c r="V101" s="30">
        <f>18111841185</f>
        <v>18111841185</v>
      </c>
      <c r="W101" s="30">
        <f>2304277805</f>
        <v>2304277805</v>
      </c>
      <c r="X101" s="34">
        <f>22</f>
        <v>22</v>
      </c>
    </row>
    <row r="102" spans="1:24">
      <c r="A102" s="25" t="s">
        <v>1232</v>
      </c>
      <c r="B102" s="25" t="s">
        <v>288</v>
      </c>
      <c r="C102" s="25" t="s">
        <v>922</v>
      </c>
      <c r="D102" s="25" t="s">
        <v>923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1852</f>
        <v>1852</v>
      </c>
      <c r="L102" s="32" t="s">
        <v>1110</v>
      </c>
      <c r="M102" s="31">
        <f>1902</f>
        <v>1902</v>
      </c>
      <c r="N102" s="32" t="s">
        <v>1115</v>
      </c>
      <c r="O102" s="31">
        <f>1812</f>
        <v>1812</v>
      </c>
      <c r="P102" s="32" t="s">
        <v>1114</v>
      </c>
      <c r="Q102" s="31">
        <f>1864</f>
        <v>1864</v>
      </c>
      <c r="R102" s="32" t="s">
        <v>777</v>
      </c>
      <c r="S102" s="33">
        <f>1858.21</f>
        <v>1858.21</v>
      </c>
      <c r="T102" s="30">
        <f>12480</f>
        <v>12480</v>
      </c>
      <c r="U102" s="30">
        <f>70</f>
        <v>70</v>
      </c>
      <c r="V102" s="30">
        <f>23282640</f>
        <v>23282640</v>
      </c>
      <c r="W102" s="30">
        <f>132490</f>
        <v>132490</v>
      </c>
      <c r="X102" s="34">
        <f>21</f>
        <v>21</v>
      </c>
    </row>
    <row r="103" spans="1:24">
      <c r="A103" s="25" t="s">
        <v>1232</v>
      </c>
      <c r="B103" s="25" t="s">
        <v>289</v>
      </c>
      <c r="C103" s="25" t="s">
        <v>290</v>
      </c>
      <c r="D103" s="25" t="s">
        <v>291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2160</f>
        <v>2160</v>
      </c>
      <c r="L103" s="32" t="s">
        <v>1110</v>
      </c>
      <c r="M103" s="31">
        <f>2236</f>
        <v>2236</v>
      </c>
      <c r="N103" s="32" t="s">
        <v>875</v>
      </c>
      <c r="O103" s="31">
        <f>2087</f>
        <v>2087</v>
      </c>
      <c r="P103" s="32" t="s">
        <v>1114</v>
      </c>
      <c r="Q103" s="31">
        <f>2160</f>
        <v>2160</v>
      </c>
      <c r="R103" s="32" t="s">
        <v>681</v>
      </c>
      <c r="S103" s="33">
        <f>2164.36</f>
        <v>2164.36</v>
      </c>
      <c r="T103" s="30">
        <f>20757</f>
        <v>20757</v>
      </c>
      <c r="U103" s="30" t="str">
        <f>"－"</f>
        <v>－</v>
      </c>
      <c r="V103" s="30">
        <f>45328793</f>
        <v>45328793</v>
      </c>
      <c r="W103" s="30" t="str">
        <f>"－"</f>
        <v>－</v>
      </c>
      <c r="X103" s="34">
        <f>22</f>
        <v>22</v>
      </c>
    </row>
    <row r="104" spans="1:24">
      <c r="A104" s="25" t="s">
        <v>1232</v>
      </c>
      <c r="B104" s="25" t="s">
        <v>292</v>
      </c>
      <c r="C104" s="25" t="s">
        <v>293</v>
      </c>
      <c r="D104" s="25" t="s">
        <v>294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24800</f>
        <v>24800</v>
      </c>
      <c r="L104" s="32" t="s">
        <v>1110</v>
      </c>
      <c r="M104" s="31">
        <f>25265</f>
        <v>25265</v>
      </c>
      <c r="N104" s="32" t="s">
        <v>1115</v>
      </c>
      <c r="O104" s="31">
        <f>23880</f>
        <v>23880</v>
      </c>
      <c r="P104" s="32" t="s">
        <v>683</v>
      </c>
      <c r="Q104" s="31">
        <f>24365</f>
        <v>24365</v>
      </c>
      <c r="R104" s="32" t="s">
        <v>681</v>
      </c>
      <c r="S104" s="33">
        <f>24629.55</f>
        <v>24629.55</v>
      </c>
      <c r="T104" s="30">
        <f>94529</f>
        <v>94529</v>
      </c>
      <c r="U104" s="30">
        <f>18494</f>
        <v>18494</v>
      </c>
      <c r="V104" s="30">
        <f>2341298693</f>
        <v>2341298693</v>
      </c>
      <c r="W104" s="30">
        <f>457160023</f>
        <v>457160023</v>
      </c>
      <c r="X104" s="34">
        <f>22</f>
        <v>22</v>
      </c>
    </row>
    <row r="105" spans="1:24">
      <c r="A105" s="25" t="s">
        <v>1232</v>
      </c>
      <c r="B105" s="25" t="s">
        <v>295</v>
      </c>
      <c r="C105" s="25" t="s">
        <v>296</v>
      </c>
      <c r="D105" s="25" t="s">
        <v>297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2266</f>
        <v>2266</v>
      </c>
      <c r="L105" s="32" t="s">
        <v>1110</v>
      </c>
      <c r="M105" s="31">
        <f>2343</f>
        <v>2343</v>
      </c>
      <c r="N105" s="32" t="s">
        <v>1145</v>
      </c>
      <c r="O105" s="31">
        <f>2195</f>
        <v>2195</v>
      </c>
      <c r="P105" s="32" t="s">
        <v>1114</v>
      </c>
      <c r="Q105" s="31">
        <f>2279</f>
        <v>2279</v>
      </c>
      <c r="R105" s="32" t="s">
        <v>681</v>
      </c>
      <c r="S105" s="33">
        <f>2272.27</f>
        <v>2272.27</v>
      </c>
      <c r="T105" s="30">
        <f>62264</f>
        <v>62264</v>
      </c>
      <c r="U105" s="30">
        <f>23</f>
        <v>23</v>
      </c>
      <c r="V105" s="30">
        <f>141551418</f>
        <v>141551418</v>
      </c>
      <c r="W105" s="30">
        <f>48715</f>
        <v>48715</v>
      </c>
      <c r="X105" s="34">
        <f>22</f>
        <v>22</v>
      </c>
    </row>
    <row r="106" spans="1:24">
      <c r="A106" s="25" t="s">
        <v>1232</v>
      </c>
      <c r="B106" s="25" t="s">
        <v>298</v>
      </c>
      <c r="C106" s="25" t="s">
        <v>299</v>
      </c>
      <c r="D106" s="25" t="s">
        <v>300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25225</f>
        <v>25225</v>
      </c>
      <c r="L106" s="32" t="s">
        <v>1110</v>
      </c>
      <c r="M106" s="31">
        <f>26075</f>
        <v>26075</v>
      </c>
      <c r="N106" s="32" t="s">
        <v>1115</v>
      </c>
      <c r="O106" s="31">
        <f>24665</f>
        <v>24665</v>
      </c>
      <c r="P106" s="32" t="s">
        <v>679</v>
      </c>
      <c r="Q106" s="31">
        <f>25570</f>
        <v>25570</v>
      </c>
      <c r="R106" s="32" t="s">
        <v>681</v>
      </c>
      <c r="S106" s="33">
        <f>25432.95</f>
        <v>25432.95</v>
      </c>
      <c r="T106" s="30">
        <f>29895</f>
        <v>29895</v>
      </c>
      <c r="U106" s="30">
        <f>1560</f>
        <v>1560</v>
      </c>
      <c r="V106" s="30">
        <f>764933895</f>
        <v>764933895</v>
      </c>
      <c r="W106" s="30">
        <f>39632750</f>
        <v>39632750</v>
      </c>
      <c r="X106" s="34">
        <f>22</f>
        <v>22</v>
      </c>
    </row>
    <row r="107" spans="1:24">
      <c r="A107" s="25" t="s">
        <v>1232</v>
      </c>
      <c r="B107" s="25" t="s">
        <v>301</v>
      </c>
      <c r="C107" s="25" t="s">
        <v>302</v>
      </c>
      <c r="D107" s="25" t="s">
        <v>303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1790.5</f>
        <v>1790.5</v>
      </c>
      <c r="L107" s="32" t="s">
        <v>1110</v>
      </c>
      <c r="M107" s="31">
        <f>1791.5</f>
        <v>1791.5</v>
      </c>
      <c r="N107" s="32" t="s">
        <v>1116</v>
      </c>
      <c r="O107" s="31">
        <f>1705.5</f>
        <v>1705.5</v>
      </c>
      <c r="P107" s="32" t="s">
        <v>1114</v>
      </c>
      <c r="Q107" s="31">
        <f>1719</f>
        <v>1719</v>
      </c>
      <c r="R107" s="32" t="s">
        <v>681</v>
      </c>
      <c r="S107" s="33">
        <f>1737.82</f>
        <v>1737.82</v>
      </c>
      <c r="T107" s="30">
        <f>2859750</f>
        <v>2859750</v>
      </c>
      <c r="U107" s="30">
        <f>1714320</f>
        <v>1714320</v>
      </c>
      <c r="V107" s="30">
        <f>4984883441</f>
        <v>4984883441</v>
      </c>
      <c r="W107" s="30">
        <f>2987148651</f>
        <v>2987148651</v>
      </c>
      <c r="X107" s="34">
        <f>22</f>
        <v>22</v>
      </c>
    </row>
    <row r="108" spans="1:24">
      <c r="A108" s="25" t="s">
        <v>1232</v>
      </c>
      <c r="B108" s="25" t="s">
        <v>304</v>
      </c>
      <c r="C108" s="25" t="s">
        <v>305</v>
      </c>
      <c r="D108" s="25" t="s">
        <v>306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2247</f>
        <v>2247</v>
      </c>
      <c r="L108" s="32" t="s">
        <v>675</v>
      </c>
      <c r="M108" s="31">
        <f>2347</f>
        <v>2347</v>
      </c>
      <c r="N108" s="32" t="s">
        <v>1115</v>
      </c>
      <c r="O108" s="31">
        <f>2237</f>
        <v>2237</v>
      </c>
      <c r="P108" s="32" t="s">
        <v>760</v>
      </c>
      <c r="Q108" s="31">
        <f>2285</f>
        <v>2285</v>
      </c>
      <c r="R108" s="32" t="s">
        <v>682</v>
      </c>
      <c r="S108" s="33">
        <f>2279</f>
        <v>2279</v>
      </c>
      <c r="T108" s="30">
        <f>200</f>
        <v>200</v>
      </c>
      <c r="U108" s="30" t="str">
        <f>"－"</f>
        <v>－</v>
      </c>
      <c r="V108" s="30">
        <f>453340</f>
        <v>453340</v>
      </c>
      <c r="W108" s="30" t="str">
        <f>"－"</f>
        <v>－</v>
      </c>
      <c r="X108" s="34">
        <f>4</f>
        <v>4</v>
      </c>
    </row>
    <row r="109" spans="1:24">
      <c r="A109" s="25" t="s">
        <v>1232</v>
      </c>
      <c r="B109" s="25" t="s">
        <v>307</v>
      </c>
      <c r="C109" s="25" t="s">
        <v>308</v>
      </c>
      <c r="D109" s="25" t="s">
        <v>309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1783</f>
        <v>1783</v>
      </c>
      <c r="L109" s="32" t="s">
        <v>1110</v>
      </c>
      <c r="M109" s="31">
        <f>1783</f>
        <v>1783</v>
      </c>
      <c r="N109" s="32" t="s">
        <v>1110</v>
      </c>
      <c r="O109" s="31">
        <f>1721</f>
        <v>1721</v>
      </c>
      <c r="P109" s="32" t="s">
        <v>1114</v>
      </c>
      <c r="Q109" s="31">
        <f>1734.5</f>
        <v>1734.5</v>
      </c>
      <c r="R109" s="32" t="s">
        <v>681</v>
      </c>
      <c r="S109" s="33">
        <f>1745.43</f>
        <v>1745.43</v>
      </c>
      <c r="T109" s="30">
        <f>5674690</f>
        <v>5674690</v>
      </c>
      <c r="U109" s="30">
        <f>3639640</f>
        <v>3639640</v>
      </c>
      <c r="V109" s="30">
        <f>9947342136</f>
        <v>9947342136</v>
      </c>
      <c r="W109" s="30">
        <f>6396299436</f>
        <v>6396299436</v>
      </c>
      <c r="X109" s="34">
        <f>22</f>
        <v>22</v>
      </c>
    </row>
    <row r="110" spans="1:24">
      <c r="A110" s="25" t="s">
        <v>1232</v>
      </c>
      <c r="B110" s="25" t="s">
        <v>310</v>
      </c>
      <c r="C110" s="25" t="s">
        <v>924</v>
      </c>
      <c r="D110" s="25" t="s">
        <v>925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</v>
      </c>
      <c r="K110" s="31">
        <f>25195</f>
        <v>25195</v>
      </c>
      <c r="L110" s="32" t="s">
        <v>1110</v>
      </c>
      <c r="M110" s="31">
        <f>25990</f>
        <v>25990</v>
      </c>
      <c r="N110" s="32" t="s">
        <v>875</v>
      </c>
      <c r="O110" s="31">
        <f>24235</f>
        <v>24235</v>
      </c>
      <c r="P110" s="32" t="s">
        <v>1114</v>
      </c>
      <c r="Q110" s="31">
        <f>25240</f>
        <v>25240</v>
      </c>
      <c r="R110" s="32" t="s">
        <v>681</v>
      </c>
      <c r="S110" s="33">
        <f>25184.05</f>
        <v>25184.05</v>
      </c>
      <c r="T110" s="30">
        <f>8705</f>
        <v>8705</v>
      </c>
      <c r="U110" s="30">
        <f>5000</f>
        <v>5000</v>
      </c>
      <c r="V110" s="30">
        <f>218819180</f>
        <v>218819180</v>
      </c>
      <c r="W110" s="30">
        <f>125525000</f>
        <v>125525000</v>
      </c>
      <c r="X110" s="34">
        <f>21</f>
        <v>21</v>
      </c>
    </row>
    <row r="111" spans="1:24">
      <c r="A111" s="25" t="s">
        <v>1232</v>
      </c>
      <c r="B111" s="25" t="s">
        <v>1143</v>
      </c>
      <c r="C111" s="25" t="s">
        <v>1142</v>
      </c>
      <c r="D111" s="25" t="s">
        <v>1141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528.8</f>
        <v>528.79999999999995</v>
      </c>
      <c r="L111" s="32" t="s">
        <v>1110</v>
      </c>
      <c r="M111" s="31">
        <f>540</f>
        <v>540</v>
      </c>
      <c r="N111" s="32" t="s">
        <v>1110</v>
      </c>
      <c r="O111" s="31">
        <f>503.8</f>
        <v>503.8</v>
      </c>
      <c r="P111" s="32" t="s">
        <v>683</v>
      </c>
      <c r="Q111" s="31">
        <f>521.3</f>
        <v>521.29999999999995</v>
      </c>
      <c r="R111" s="32" t="s">
        <v>681</v>
      </c>
      <c r="S111" s="33">
        <f>521.52</f>
        <v>521.52</v>
      </c>
      <c r="T111" s="30">
        <f>2370070</f>
        <v>2370070</v>
      </c>
      <c r="U111" s="30" t="str">
        <f>"－"</f>
        <v>－</v>
      </c>
      <c r="V111" s="30">
        <f>1230512558</f>
        <v>1230512558</v>
      </c>
      <c r="W111" s="30" t="str">
        <f>"－"</f>
        <v>－</v>
      </c>
      <c r="X111" s="34">
        <f>22</f>
        <v>22</v>
      </c>
    </row>
    <row r="112" spans="1:24">
      <c r="A112" s="25" t="s">
        <v>1232</v>
      </c>
      <c r="B112" s="25" t="s">
        <v>311</v>
      </c>
      <c r="C112" s="25" t="s">
        <v>312</v>
      </c>
      <c r="D112" s="25" t="s">
        <v>313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100</v>
      </c>
      <c r="K112" s="31">
        <f>311.1</f>
        <v>311.10000000000002</v>
      </c>
      <c r="L112" s="32" t="s">
        <v>1110</v>
      </c>
      <c r="M112" s="31">
        <f>342.2</f>
        <v>342.2</v>
      </c>
      <c r="N112" s="32" t="s">
        <v>678</v>
      </c>
      <c r="O112" s="31">
        <f>309.7</f>
        <v>309.7</v>
      </c>
      <c r="P112" s="32" t="s">
        <v>1145</v>
      </c>
      <c r="Q112" s="31">
        <f>335</f>
        <v>335</v>
      </c>
      <c r="R112" s="32" t="s">
        <v>681</v>
      </c>
      <c r="S112" s="33">
        <f>326.57</f>
        <v>326.57</v>
      </c>
      <c r="T112" s="30">
        <f>65024000</f>
        <v>65024000</v>
      </c>
      <c r="U112" s="30">
        <f>8421100</f>
        <v>8421100</v>
      </c>
      <c r="V112" s="30">
        <f>21212717490</f>
        <v>21212717490</v>
      </c>
      <c r="W112" s="30">
        <f>2772736700</f>
        <v>2772736700</v>
      </c>
      <c r="X112" s="34">
        <f>22</f>
        <v>22</v>
      </c>
    </row>
    <row r="113" spans="1:24">
      <c r="A113" s="25" t="s">
        <v>1232</v>
      </c>
      <c r="B113" s="25" t="s">
        <v>314</v>
      </c>
      <c r="C113" s="25" t="s">
        <v>315</v>
      </c>
      <c r="D113" s="25" t="s">
        <v>316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38340</f>
        <v>38340</v>
      </c>
      <c r="L113" s="32" t="s">
        <v>1110</v>
      </c>
      <c r="M113" s="31">
        <f>39340</f>
        <v>39340</v>
      </c>
      <c r="N113" s="32" t="s">
        <v>1110</v>
      </c>
      <c r="O113" s="31">
        <f>37070</f>
        <v>37070</v>
      </c>
      <c r="P113" s="32" t="s">
        <v>874</v>
      </c>
      <c r="Q113" s="31">
        <f>38520</f>
        <v>38520</v>
      </c>
      <c r="R113" s="32" t="s">
        <v>681</v>
      </c>
      <c r="S113" s="33">
        <f>38107.27</f>
        <v>38107.269999999997</v>
      </c>
      <c r="T113" s="30">
        <f>3075</f>
        <v>3075</v>
      </c>
      <c r="U113" s="30">
        <f>21</f>
        <v>21</v>
      </c>
      <c r="V113" s="30">
        <f>117828410</f>
        <v>117828410</v>
      </c>
      <c r="W113" s="30">
        <f>789370</f>
        <v>789370</v>
      </c>
      <c r="X113" s="34">
        <f>22</f>
        <v>22</v>
      </c>
    </row>
    <row r="114" spans="1:24">
      <c r="A114" s="25" t="s">
        <v>1232</v>
      </c>
      <c r="B114" s="25" t="s">
        <v>317</v>
      </c>
      <c r="C114" s="25" t="s">
        <v>318</v>
      </c>
      <c r="D114" s="25" t="s">
        <v>319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20905</f>
        <v>20905</v>
      </c>
      <c r="L114" s="32" t="s">
        <v>1110</v>
      </c>
      <c r="M114" s="31">
        <f>23300</f>
        <v>23300</v>
      </c>
      <c r="N114" s="32" t="s">
        <v>1113</v>
      </c>
      <c r="O114" s="31">
        <f>20075</f>
        <v>20075</v>
      </c>
      <c r="P114" s="32" t="s">
        <v>683</v>
      </c>
      <c r="Q114" s="31">
        <f>21200</f>
        <v>21200</v>
      </c>
      <c r="R114" s="32" t="s">
        <v>681</v>
      </c>
      <c r="S114" s="33">
        <f>21606.82</f>
        <v>21606.82</v>
      </c>
      <c r="T114" s="30">
        <f>15070</f>
        <v>15070</v>
      </c>
      <c r="U114" s="30">
        <f>42</f>
        <v>42</v>
      </c>
      <c r="V114" s="30">
        <f>330706204</f>
        <v>330706204</v>
      </c>
      <c r="W114" s="30">
        <f>911874</f>
        <v>911874</v>
      </c>
      <c r="X114" s="34">
        <f>22</f>
        <v>22</v>
      </c>
    </row>
    <row r="115" spans="1:24">
      <c r="A115" s="25" t="s">
        <v>1232</v>
      </c>
      <c r="B115" s="25" t="s">
        <v>320</v>
      </c>
      <c r="C115" s="25" t="s">
        <v>321</v>
      </c>
      <c r="D115" s="25" t="s">
        <v>322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31340</f>
        <v>31340</v>
      </c>
      <c r="L115" s="32" t="s">
        <v>1110</v>
      </c>
      <c r="M115" s="31">
        <f>31350</f>
        <v>31350</v>
      </c>
      <c r="N115" s="32" t="s">
        <v>1110</v>
      </c>
      <c r="O115" s="31">
        <f>29500</f>
        <v>29500</v>
      </c>
      <c r="P115" s="32" t="s">
        <v>683</v>
      </c>
      <c r="Q115" s="31">
        <f>30300</f>
        <v>30300</v>
      </c>
      <c r="R115" s="32" t="s">
        <v>681</v>
      </c>
      <c r="S115" s="33">
        <f>30385.68</f>
        <v>30385.68</v>
      </c>
      <c r="T115" s="30">
        <f>3409</f>
        <v>3409</v>
      </c>
      <c r="U115" s="30" t="str">
        <f>"－"</f>
        <v>－</v>
      </c>
      <c r="V115" s="30">
        <f>103286460</f>
        <v>103286460</v>
      </c>
      <c r="W115" s="30" t="str">
        <f>"－"</f>
        <v>－</v>
      </c>
      <c r="X115" s="34">
        <f>22</f>
        <v>22</v>
      </c>
    </row>
    <row r="116" spans="1:24">
      <c r="A116" s="25" t="s">
        <v>1232</v>
      </c>
      <c r="B116" s="25" t="s">
        <v>323</v>
      </c>
      <c r="C116" s="25" t="s">
        <v>324</v>
      </c>
      <c r="D116" s="25" t="s">
        <v>325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32000</f>
        <v>32000</v>
      </c>
      <c r="L116" s="32" t="s">
        <v>1110</v>
      </c>
      <c r="M116" s="31">
        <f>32500</f>
        <v>32500</v>
      </c>
      <c r="N116" s="32" t="s">
        <v>1110</v>
      </c>
      <c r="O116" s="31">
        <f>29770</f>
        <v>29770</v>
      </c>
      <c r="P116" s="32" t="s">
        <v>1114</v>
      </c>
      <c r="Q116" s="31">
        <f>30630</f>
        <v>30630</v>
      </c>
      <c r="R116" s="32" t="s">
        <v>681</v>
      </c>
      <c r="S116" s="33">
        <f>30980.45</f>
        <v>30980.45</v>
      </c>
      <c r="T116" s="30">
        <f>36378</f>
        <v>36378</v>
      </c>
      <c r="U116" s="30">
        <f>33003</f>
        <v>33003</v>
      </c>
      <c r="V116" s="30">
        <f>1142977985</f>
        <v>1142977985</v>
      </c>
      <c r="W116" s="30">
        <f>1037787070</f>
        <v>1037787070</v>
      </c>
      <c r="X116" s="34">
        <f>22</f>
        <v>22</v>
      </c>
    </row>
    <row r="117" spans="1:24">
      <c r="A117" s="25" t="s">
        <v>1232</v>
      </c>
      <c r="B117" s="25" t="s">
        <v>326</v>
      </c>
      <c r="C117" s="25" t="s">
        <v>327</v>
      </c>
      <c r="D117" s="25" t="s">
        <v>328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28750</f>
        <v>28750</v>
      </c>
      <c r="L117" s="32" t="s">
        <v>1110</v>
      </c>
      <c r="M117" s="31">
        <f>30120</f>
        <v>30120</v>
      </c>
      <c r="N117" s="32" t="s">
        <v>777</v>
      </c>
      <c r="O117" s="31">
        <f>28290</f>
        <v>28290</v>
      </c>
      <c r="P117" s="32" t="s">
        <v>1116</v>
      </c>
      <c r="Q117" s="31">
        <f>29915</f>
        <v>29915</v>
      </c>
      <c r="R117" s="32" t="s">
        <v>681</v>
      </c>
      <c r="S117" s="33">
        <f>29355.91</f>
        <v>29355.91</v>
      </c>
      <c r="T117" s="30">
        <f>7705</f>
        <v>7705</v>
      </c>
      <c r="U117" s="30">
        <f>37</f>
        <v>37</v>
      </c>
      <c r="V117" s="30">
        <f>225598245</f>
        <v>225598245</v>
      </c>
      <c r="W117" s="30">
        <f>1082625</f>
        <v>1082625</v>
      </c>
      <c r="X117" s="34">
        <f>22</f>
        <v>22</v>
      </c>
    </row>
    <row r="118" spans="1:24">
      <c r="A118" s="25" t="s">
        <v>1232</v>
      </c>
      <c r="B118" s="25" t="s">
        <v>329</v>
      </c>
      <c r="C118" s="25" t="s">
        <v>330</v>
      </c>
      <c r="D118" s="25" t="s">
        <v>331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29240</f>
        <v>29240</v>
      </c>
      <c r="L118" s="32" t="s">
        <v>1110</v>
      </c>
      <c r="M118" s="31">
        <f>30120</f>
        <v>30120</v>
      </c>
      <c r="N118" s="32" t="s">
        <v>777</v>
      </c>
      <c r="O118" s="31">
        <f>28450</f>
        <v>28450</v>
      </c>
      <c r="P118" s="32" t="s">
        <v>874</v>
      </c>
      <c r="Q118" s="31">
        <f>29705</f>
        <v>29705</v>
      </c>
      <c r="R118" s="32" t="s">
        <v>681</v>
      </c>
      <c r="S118" s="33">
        <f>29168.41</f>
        <v>29168.41</v>
      </c>
      <c r="T118" s="30">
        <f>14304</f>
        <v>14304</v>
      </c>
      <c r="U118" s="30">
        <f>71</f>
        <v>71</v>
      </c>
      <c r="V118" s="30">
        <f>418112061</f>
        <v>418112061</v>
      </c>
      <c r="W118" s="30">
        <f>2095841</f>
        <v>2095841</v>
      </c>
      <c r="X118" s="34">
        <f>22</f>
        <v>22</v>
      </c>
    </row>
    <row r="119" spans="1:24">
      <c r="A119" s="25" t="s">
        <v>1232</v>
      </c>
      <c r="B119" s="25" t="s">
        <v>332</v>
      </c>
      <c r="C119" s="25" t="s">
        <v>333</v>
      </c>
      <c r="D119" s="25" t="s">
        <v>334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26395</f>
        <v>26395</v>
      </c>
      <c r="L119" s="32" t="s">
        <v>1110</v>
      </c>
      <c r="M119" s="31">
        <f>27020</f>
        <v>27020</v>
      </c>
      <c r="N119" s="32" t="s">
        <v>1115</v>
      </c>
      <c r="O119" s="31">
        <f>25065</f>
        <v>25065</v>
      </c>
      <c r="P119" s="32" t="s">
        <v>1114</v>
      </c>
      <c r="Q119" s="31">
        <f>26380</f>
        <v>26380</v>
      </c>
      <c r="R119" s="32" t="s">
        <v>681</v>
      </c>
      <c r="S119" s="33">
        <f>26163.64</f>
        <v>26163.64</v>
      </c>
      <c r="T119" s="30">
        <f>4579</f>
        <v>4579</v>
      </c>
      <c r="U119" s="30" t="str">
        <f>"－"</f>
        <v>－</v>
      </c>
      <c r="V119" s="30">
        <f>118847235</f>
        <v>118847235</v>
      </c>
      <c r="W119" s="30" t="str">
        <f>"－"</f>
        <v>－</v>
      </c>
      <c r="X119" s="34">
        <f>22</f>
        <v>22</v>
      </c>
    </row>
    <row r="120" spans="1:24">
      <c r="A120" s="25" t="s">
        <v>1232</v>
      </c>
      <c r="B120" s="25" t="s">
        <v>335</v>
      </c>
      <c r="C120" s="25" t="s">
        <v>336</v>
      </c>
      <c r="D120" s="25" t="s">
        <v>337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57040</f>
        <v>57040</v>
      </c>
      <c r="L120" s="32" t="s">
        <v>1110</v>
      </c>
      <c r="M120" s="31">
        <f>58770</f>
        <v>58770</v>
      </c>
      <c r="N120" s="32" t="s">
        <v>1115</v>
      </c>
      <c r="O120" s="31">
        <f>53930</f>
        <v>53930</v>
      </c>
      <c r="P120" s="32" t="s">
        <v>683</v>
      </c>
      <c r="Q120" s="31">
        <f>57320</f>
        <v>57320</v>
      </c>
      <c r="R120" s="32" t="s">
        <v>681</v>
      </c>
      <c r="S120" s="33">
        <f>56544.09</f>
        <v>56544.09</v>
      </c>
      <c r="T120" s="30">
        <f>7845</f>
        <v>7845</v>
      </c>
      <c r="U120" s="30">
        <f>22</f>
        <v>22</v>
      </c>
      <c r="V120" s="30">
        <f>440073580</f>
        <v>440073580</v>
      </c>
      <c r="W120" s="30">
        <f>1254350</f>
        <v>1254350</v>
      </c>
      <c r="X120" s="34">
        <f>22</f>
        <v>22</v>
      </c>
    </row>
    <row r="121" spans="1:24">
      <c r="A121" s="25" t="s">
        <v>1232</v>
      </c>
      <c r="B121" s="25" t="s">
        <v>338</v>
      </c>
      <c r="C121" s="25" t="s">
        <v>339</v>
      </c>
      <c r="D121" s="25" t="s">
        <v>340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38000</f>
        <v>38000</v>
      </c>
      <c r="L121" s="32" t="s">
        <v>1110</v>
      </c>
      <c r="M121" s="31">
        <f>39100</f>
        <v>39100</v>
      </c>
      <c r="N121" s="32" t="s">
        <v>875</v>
      </c>
      <c r="O121" s="31">
        <f>36690</f>
        <v>36690</v>
      </c>
      <c r="P121" s="32" t="s">
        <v>683</v>
      </c>
      <c r="Q121" s="31">
        <f>38450</f>
        <v>38450</v>
      </c>
      <c r="R121" s="32" t="s">
        <v>681</v>
      </c>
      <c r="S121" s="33">
        <f>37879.09</f>
        <v>37879.089999999997</v>
      </c>
      <c r="T121" s="30">
        <f>13009</f>
        <v>13009</v>
      </c>
      <c r="U121" s="30">
        <f>25</f>
        <v>25</v>
      </c>
      <c r="V121" s="30">
        <f>493551780</f>
        <v>493551780</v>
      </c>
      <c r="W121" s="30">
        <f>956540</f>
        <v>956540</v>
      </c>
      <c r="X121" s="34">
        <f>22</f>
        <v>22</v>
      </c>
    </row>
    <row r="122" spans="1:24">
      <c r="A122" s="25" t="s">
        <v>1232</v>
      </c>
      <c r="B122" s="25" t="s">
        <v>341</v>
      </c>
      <c r="C122" s="25" t="s">
        <v>342</v>
      </c>
      <c r="D122" s="25" t="s">
        <v>343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35500</f>
        <v>35500</v>
      </c>
      <c r="L122" s="32" t="s">
        <v>1110</v>
      </c>
      <c r="M122" s="31">
        <f>36360</f>
        <v>36360</v>
      </c>
      <c r="N122" s="32" t="s">
        <v>875</v>
      </c>
      <c r="O122" s="31">
        <f>34560</f>
        <v>34560</v>
      </c>
      <c r="P122" s="32" t="s">
        <v>679</v>
      </c>
      <c r="Q122" s="31">
        <f>35840</f>
        <v>35840</v>
      </c>
      <c r="R122" s="32" t="s">
        <v>681</v>
      </c>
      <c r="S122" s="33">
        <f>35523.18</f>
        <v>35523.18</v>
      </c>
      <c r="T122" s="30">
        <f>5869</f>
        <v>5869</v>
      </c>
      <c r="U122" s="30">
        <f>20</f>
        <v>20</v>
      </c>
      <c r="V122" s="30">
        <f>210428410</f>
        <v>210428410</v>
      </c>
      <c r="W122" s="30">
        <f>711380</f>
        <v>711380</v>
      </c>
      <c r="X122" s="34">
        <f>22</f>
        <v>22</v>
      </c>
    </row>
    <row r="123" spans="1:24">
      <c r="A123" s="25" t="s">
        <v>1232</v>
      </c>
      <c r="B123" s="25" t="s">
        <v>344</v>
      </c>
      <c r="C123" s="25" t="s">
        <v>345</v>
      </c>
      <c r="D123" s="25" t="s">
        <v>346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9065</f>
        <v>9065</v>
      </c>
      <c r="L123" s="32" t="s">
        <v>1110</v>
      </c>
      <c r="M123" s="31">
        <f>9460</f>
        <v>9460</v>
      </c>
      <c r="N123" s="32" t="s">
        <v>681</v>
      </c>
      <c r="O123" s="31">
        <f>8709</f>
        <v>8709</v>
      </c>
      <c r="P123" s="32" t="s">
        <v>1114</v>
      </c>
      <c r="Q123" s="31">
        <f>9391</f>
        <v>9391</v>
      </c>
      <c r="R123" s="32" t="s">
        <v>681</v>
      </c>
      <c r="S123" s="33">
        <f>9106.55</f>
        <v>9106.5499999999993</v>
      </c>
      <c r="T123" s="30">
        <f>54466</f>
        <v>54466</v>
      </c>
      <c r="U123" s="30" t="str">
        <f>"－"</f>
        <v>－</v>
      </c>
      <c r="V123" s="30">
        <f>496134884</f>
        <v>496134884</v>
      </c>
      <c r="W123" s="30" t="str">
        <f>"－"</f>
        <v>－</v>
      </c>
      <c r="X123" s="34">
        <f>22</f>
        <v>22</v>
      </c>
    </row>
    <row r="124" spans="1:24">
      <c r="A124" s="25" t="s">
        <v>1232</v>
      </c>
      <c r="B124" s="25" t="s">
        <v>347</v>
      </c>
      <c r="C124" s="25" t="s">
        <v>348</v>
      </c>
      <c r="D124" s="25" t="s">
        <v>349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18640</f>
        <v>18640</v>
      </c>
      <c r="L124" s="32" t="s">
        <v>1110</v>
      </c>
      <c r="M124" s="31">
        <f>18725</f>
        <v>18725</v>
      </c>
      <c r="N124" s="32" t="s">
        <v>1145</v>
      </c>
      <c r="O124" s="31">
        <f>17820</f>
        <v>17820</v>
      </c>
      <c r="P124" s="32" t="s">
        <v>679</v>
      </c>
      <c r="Q124" s="31">
        <f>18505</f>
        <v>18505</v>
      </c>
      <c r="R124" s="32" t="s">
        <v>681</v>
      </c>
      <c r="S124" s="33">
        <f>18334.77</f>
        <v>18334.77</v>
      </c>
      <c r="T124" s="30">
        <f>7068</f>
        <v>7068</v>
      </c>
      <c r="U124" s="30" t="str">
        <f>"－"</f>
        <v>－</v>
      </c>
      <c r="V124" s="30">
        <f>130049575</f>
        <v>130049575</v>
      </c>
      <c r="W124" s="30" t="str">
        <f>"－"</f>
        <v>－</v>
      </c>
      <c r="X124" s="34">
        <f>22</f>
        <v>22</v>
      </c>
    </row>
    <row r="125" spans="1:24">
      <c r="A125" s="25" t="s">
        <v>1232</v>
      </c>
      <c r="B125" s="25" t="s">
        <v>350</v>
      </c>
      <c r="C125" s="25" t="s">
        <v>351</v>
      </c>
      <c r="D125" s="25" t="s">
        <v>352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85500</f>
        <v>85500</v>
      </c>
      <c r="L125" s="32" t="s">
        <v>1110</v>
      </c>
      <c r="M125" s="31">
        <f>89100</f>
        <v>89100</v>
      </c>
      <c r="N125" s="32" t="s">
        <v>1115</v>
      </c>
      <c r="O125" s="31">
        <f>80730</f>
        <v>80730</v>
      </c>
      <c r="P125" s="32" t="s">
        <v>1114</v>
      </c>
      <c r="Q125" s="31">
        <f>83000</f>
        <v>83000</v>
      </c>
      <c r="R125" s="32" t="s">
        <v>681</v>
      </c>
      <c r="S125" s="33">
        <f>84553.18</f>
        <v>84553.18</v>
      </c>
      <c r="T125" s="30">
        <f>22230</f>
        <v>22230</v>
      </c>
      <c r="U125" s="30">
        <f>8</f>
        <v>8</v>
      </c>
      <c r="V125" s="30">
        <f>1903048535</f>
        <v>1903048535</v>
      </c>
      <c r="W125" s="30">
        <f>678855</f>
        <v>678855</v>
      </c>
      <c r="X125" s="34">
        <f>22</f>
        <v>22</v>
      </c>
    </row>
    <row r="126" spans="1:24">
      <c r="A126" s="25" t="s">
        <v>1232</v>
      </c>
      <c r="B126" s="25" t="s">
        <v>1139</v>
      </c>
      <c r="C126" s="25" t="s">
        <v>1138</v>
      </c>
      <c r="D126" s="25" t="s">
        <v>1137</v>
      </c>
      <c r="E126" s="26" t="s">
        <v>43</v>
      </c>
      <c r="F126" s="27" t="s">
        <v>43</v>
      </c>
      <c r="G126" s="28" t="s">
        <v>43</v>
      </c>
      <c r="H126" s="29"/>
      <c r="I126" s="29" t="s">
        <v>465</v>
      </c>
      <c r="J126" s="30">
        <v>1</v>
      </c>
      <c r="K126" s="31">
        <f>9993</f>
        <v>9993</v>
      </c>
      <c r="L126" s="32" t="s">
        <v>1145</v>
      </c>
      <c r="M126" s="31">
        <f>10200</f>
        <v>10200</v>
      </c>
      <c r="N126" s="32" t="s">
        <v>875</v>
      </c>
      <c r="O126" s="31">
        <f>9739</f>
        <v>9739</v>
      </c>
      <c r="P126" s="32" t="s">
        <v>683</v>
      </c>
      <c r="Q126" s="31">
        <f>10105</f>
        <v>10105</v>
      </c>
      <c r="R126" s="32" t="s">
        <v>681</v>
      </c>
      <c r="S126" s="33">
        <f>10025.08</f>
        <v>10025.08</v>
      </c>
      <c r="T126" s="30">
        <f>6742</f>
        <v>6742</v>
      </c>
      <c r="U126" s="30" t="str">
        <f>"－"</f>
        <v>－</v>
      </c>
      <c r="V126" s="30">
        <f>67526006</f>
        <v>67526006</v>
      </c>
      <c r="W126" s="30" t="str">
        <f>"－"</f>
        <v>－</v>
      </c>
      <c r="X126" s="34">
        <f>12</f>
        <v>12</v>
      </c>
    </row>
    <row r="127" spans="1:24">
      <c r="A127" s="25" t="s">
        <v>1232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30970</f>
        <v>30970</v>
      </c>
      <c r="L127" s="32" t="s">
        <v>1110</v>
      </c>
      <c r="M127" s="31">
        <f>32290</f>
        <v>32290</v>
      </c>
      <c r="N127" s="32" t="s">
        <v>875</v>
      </c>
      <c r="O127" s="31">
        <f>30000</f>
        <v>30000</v>
      </c>
      <c r="P127" s="32" t="s">
        <v>1114</v>
      </c>
      <c r="Q127" s="31">
        <f>30500</f>
        <v>30500</v>
      </c>
      <c r="R127" s="32" t="s">
        <v>681</v>
      </c>
      <c r="S127" s="33">
        <f>30984.09</f>
        <v>30984.09</v>
      </c>
      <c r="T127" s="30">
        <f>17336</f>
        <v>17336</v>
      </c>
      <c r="U127" s="30">
        <f>203</f>
        <v>203</v>
      </c>
      <c r="V127" s="30">
        <f>542222675</f>
        <v>542222675</v>
      </c>
      <c r="W127" s="30">
        <f>6193915</f>
        <v>6193915</v>
      </c>
      <c r="X127" s="34">
        <f>22</f>
        <v>22</v>
      </c>
    </row>
    <row r="128" spans="1:24">
      <c r="A128" s="25" t="s">
        <v>1232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16750</f>
        <v>16750</v>
      </c>
      <c r="L128" s="32" t="s">
        <v>1110</v>
      </c>
      <c r="M128" s="31">
        <f>18210</f>
        <v>18210</v>
      </c>
      <c r="N128" s="32" t="s">
        <v>678</v>
      </c>
      <c r="O128" s="31">
        <f>16440</f>
        <v>16440</v>
      </c>
      <c r="P128" s="32" t="s">
        <v>1145</v>
      </c>
      <c r="Q128" s="31">
        <f>17870</f>
        <v>17870</v>
      </c>
      <c r="R128" s="32" t="s">
        <v>681</v>
      </c>
      <c r="S128" s="33">
        <f>17368.18</f>
        <v>17368.18</v>
      </c>
      <c r="T128" s="30">
        <f>321983</f>
        <v>321983</v>
      </c>
      <c r="U128" s="30">
        <f>275869</f>
        <v>275869</v>
      </c>
      <c r="V128" s="30">
        <f>5509639105</f>
        <v>5509639105</v>
      </c>
      <c r="W128" s="30">
        <f>4707439365</f>
        <v>4707439365</v>
      </c>
      <c r="X128" s="34">
        <f>22</f>
        <v>22</v>
      </c>
    </row>
    <row r="129" spans="1:24">
      <c r="A129" s="25" t="s">
        <v>1232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26205</f>
        <v>26205</v>
      </c>
      <c r="L129" s="32" t="s">
        <v>1110</v>
      </c>
      <c r="M129" s="31">
        <f>27655</f>
        <v>27655</v>
      </c>
      <c r="N129" s="32" t="s">
        <v>1115</v>
      </c>
      <c r="O129" s="31">
        <f>25680</f>
        <v>25680</v>
      </c>
      <c r="P129" s="32" t="s">
        <v>874</v>
      </c>
      <c r="Q129" s="31">
        <f>26640</f>
        <v>26640</v>
      </c>
      <c r="R129" s="32" t="s">
        <v>681</v>
      </c>
      <c r="S129" s="33">
        <f>26632.05</f>
        <v>26632.05</v>
      </c>
      <c r="T129" s="30">
        <f>34142</f>
        <v>34142</v>
      </c>
      <c r="U129" s="30">
        <f>7655</f>
        <v>7655</v>
      </c>
      <c r="V129" s="30">
        <f>914806936</f>
        <v>914806936</v>
      </c>
      <c r="W129" s="30">
        <f>207919326</f>
        <v>207919326</v>
      </c>
      <c r="X129" s="34">
        <f>22</f>
        <v>22</v>
      </c>
    </row>
    <row r="130" spans="1:24">
      <c r="A130" s="25" t="s">
        <v>1232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38970</f>
        <v>38970</v>
      </c>
      <c r="L130" s="32" t="s">
        <v>1110</v>
      </c>
      <c r="M130" s="31">
        <f>40990</f>
        <v>40990</v>
      </c>
      <c r="N130" s="32" t="s">
        <v>1115</v>
      </c>
      <c r="O130" s="31">
        <f>37710</f>
        <v>37710</v>
      </c>
      <c r="P130" s="32" t="s">
        <v>683</v>
      </c>
      <c r="Q130" s="31">
        <f>38550</f>
        <v>38550</v>
      </c>
      <c r="R130" s="32" t="s">
        <v>681</v>
      </c>
      <c r="S130" s="33">
        <f>38914.09</f>
        <v>38914.089999999997</v>
      </c>
      <c r="T130" s="30">
        <f>3711</f>
        <v>3711</v>
      </c>
      <c r="U130" s="30">
        <f>27</f>
        <v>27</v>
      </c>
      <c r="V130" s="30">
        <f>143733010</f>
        <v>143733010</v>
      </c>
      <c r="W130" s="30">
        <f>1069190</f>
        <v>1069190</v>
      </c>
      <c r="X130" s="34">
        <f>22</f>
        <v>22</v>
      </c>
    </row>
    <row r="131" spans="1:24">
      <c r="A131" s="25" t="s">
        <v>1232</v>
      </c>
      <c r="B131" s="25" t="s">
        <v>1136</v>
      </c>
      <c r="C131" s="25" t="s">
        <v>1135</v>
      </c>
      <c r="D131" s="25" t="s">
        <v>1134</v>
      </c>
      <c r="E131" s="26" t="s">
        <v>43</v>
      </c>
      <c r="F131" s="27" t="s">
        <v>43</v>
      </c>
      <c r="G131" s="28" t="s">
        <v>43</v>
      </c>
      <c r="H131" s="29"/>
      <c r="I131" s="29" t="s">
        <v>465</v>
      </c>
      <c r="J131" s="30">
        <v>1</v>
      </c>
      <c r="K131" s="31">
        <f>8506</f>
        <v>8506</v>
      </c>
      <c r="L131" s="32" t="s">
        <v>1110</v>
      </c>
      <c r="M131" s="31">
        <f>8957</f>
        <v>8957</v>
      </c>
      <c r="N131" s="32" t="s">
        <v>875</v>
      </c>
      <c r="O131" s="31">
        <f>8131</f>
        <v>8131</v>
      </c>
      <c r="P131" s="32" t="s">
        <v>683</v>
      </c>
      <c r="Q131" s="31">
        <f>8749</f>
        <v>8749</v>
      </c>
      <c r="R131" s="32" t="s">
        <v>681</v>
      </c>
      <c r="S131" s="33">
        <f>8543.91</f>
        <v>8543.91</v>
      </c>
      <c r="T131" s="30">
        <f>47179</f>
        <v>47179</v>
      </c>
      <c r="U131" s="30" t="str">
        <f>"－"</f>
        <v>－</v>
      </c>
      <c r="V131" s="30">
        <f>403217168</f>
        <v>403217168</v>
      </c>
      <c r="W131" s="30" t="str">
        <f>"－"</f>
        <v>－</v>
      </c>
      <c r="X131" s="34">
        <f>22</f>
        <v>22</v>
      </c>
    </row>
    <row r="132" spans="1:24">
      <c r="A132" s="25" t="s">
        <v>1232</v>
      </c>
      <c r="B132" s="25" t="s">
        <v>365</v>
      </c>
      <c r="C132" s="25" t="s">
        <v>926</v>
      </c>
      <c r="D132" s="25" t="s">
        <v>927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1966</f>
        <v>1966</v>
      </c>
      <c r="L132" s="32" t="s">
        <v>1110</v>
      </c>
      <c r="M132" s="31">
        <f>2036</f>
        <v>2036</v>
      </c>
      <c r="N132" s="32" t="s">
        <v>1115</v>
      </c>
      <c r="O132" s="31">
        <f>1928</f>
        <v>1928</v>
      </c>
      <c r="P132" s="32" t="s">
        <v>1114</v>
      </c>
      <c r="Q132" s="31">
        <f>2000</f>
        <v>2000</v>
      </c>
      <c r="R132" s="32" t="s">
        <v>681</v>
      </c>
      <c r="S132" s="33">
        <f>1983.27</f>
        <v>1983.27</v>
      </c>
      <c r="T132" s="30">
        <f>1412653</f>
        <v>1412653</v>
      </c>
      <c r="U132" s="30">
        <f>775890</f>
        <v>775890</v>
      </c>
      <c r="V132" s="30">
        <f>2791460157</f>
        <v>2791460157</v>
      </c>
      <c r="W132" s="30">
        <f>1533099534</f>
        <v>1533099534</v>
      </c>
      <c r="X132" s="34">
        <f>22</f>
        <v>22</v>
      </c>
    </row>
    <row r="133" spans="1:24">
      <c r="A133" s="25" t="s">
        <v>1232</v>
      </c>
      <c r="B133" s="25" t="s">
        <v>366</v>
      </c>
      <c r="C133" s="25" t="s">
        <v>928</v>
      </c>
      <c r="D133" s="25" t="s">
        <v>929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3155</f>
        <v>3155</v>
      </c>
      <c r="L133" s="32" t="s">
        <v>1110</v>
      </c>
      <c r="M133" s="31">
        <f>3309</f>
        <v>3309</v>
      </c>
      <c r="N133" s="32" t="s">
        <v>875</v>
      </c>
      <c r="O133" s="31">
        <f>3136</f>
        <v>3136</v>
      </c>
      <c r="P133" s="32" t="s">
        <v>679</v>
      </c>
      <c r="Q133" s="31">
        <f>3255</f>
        <v>3255</v>
      </c>
      <c r="R133" s="32" t="s">
        <v>681</v>
      </c>
      <c r="S133" s="33">
        <f>3226.45</f>
        <v>3226.45</v>
      </c>
      <c r="T133" s="30">
        <f>232250</f>
        <v>232250</v>
      </c>
      <c r="U133" s="30" t="str">
        <f>"－"</f>
        <v>－</v>
      </c>
      <c r="V133" s="30">
        <f>750136900</f>
        <v>750136900</v>
      </c>
      <c r="W133" s="30" t="str">
        <f>"－"</f>
        <v>－</v>
      </c>
      <c r="X133" s="34">
        <f>20</f>
        <v>20</v>
      </c>
    </row>
    <row r="134" spans="1:24">
      <c r="A134" s="25" t="s">
        <v>1232</v>
      </c>
      <c r="B134" s="25" t="s">
        <v>367</v>
      </c>
      <c r="C134" s="25" t="s">
        <v>930</v>
      </c>
      <c r="D134" s="25" t="s">
        <v>931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3493</f>
        <v>3493</v>
      </c>
      <c r="L134" s="32" t="s">
        <v>1110</v>
      </c>
      <c r="M134" s="31">
        <f>3570</f>
        <v>3570</v>
      </c>
      <c r="N134" s="32" t="s">
        <v>1115</v>
      </c>
      <c r="O134" s="31">
        <f>3388</f>
        <v>3388</v>
      </c>
      <c r="P134" s="32" t="s">
        <v>679</v>
      </c>
      <c r="Q134" s="31">
        <f>3486</f>
        <v>3486</v>
      </c>
      <c r="R134" s="32" t="s">
        <v>681</v>
      </c>
      <c r="S134" s="33">
        <f>3484.33</f>
        <v>3484.33</v>
      </c>
      <c r="T134" s="30">
        <f>38690</f>
        <v>38690</v>
      </c>
      <c r="U134" s="30" t="str">
        <f>"－"</f>
        <v>－</v>
      </c>
      <c r="V134" s="30">
        <f>135410800</f>
        <v>135410800</v>
      </c>
      <c r="W134" s="30" t="str">
        <f>"－"</f>
        <v>－</v>
      </c>
      <c r="X134" s="34">
        <f>18</f>
        <v>18</v>
      </c>
    </row>
    <row r="135" spans="1:24">
      <c r="A135" s="25" t="s">
        <v>1232</v>
      </c>
      <c r="B135" s="25" t="s">
        <v>368</v>
      </c>
      <c r="C135" s="25" t="s">
        <v>932</v>
      </c>
      <c r="D135" s="25" t="s">
        <v>933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2177</f>
        <v>2177</v>
      </c>
      <c r="L135" s="32" t="s">
        <v>1110</v>
      </c>
      <c r="M135" s="31">
        <f>2349</f>
        <v>2349</v>
      </c>
      <c r="N135" s="32" t="s">
        <v>681</v>
      </c>
      <c r="O135" s="31">
        <f>2124</f>
        <v>2124</v>
      </c>
      <c r="P135" s="32" t="s">
        <v>679</v>
      </c>
      <c r="Q135" s="31">
        <f>2181</f>
        <v>2181</v>
      </c>
      <c r="R135" s="32" t="s">
        <v>681</v>
      </c>
      <c r="S135" s="33">
        <f>2177.25</f>
        <v>2177.25</v>
      </c>
      <c r="T135" s="30">
        <f>6760</f>
        <v>6760</v>
      </c>
      <c r="U135" s="30" t="str">
        <f>"－"</f>
        <v>－</v>
      </c>
      <c r="V135" s="30">
        <f>14638115</f>
        <v>14638115</v>
      </c>
      <c r="W135" s="30" t="str">
        <f>"－"</f>
        <v>－</v>
      </c>
      <c r="X135" s="34">
        <f>18</f>
        <v>18</v>
      </c>
    </row>
    <row r="136" spans="1:24">
      <c r="A136" s="25" t="s">
        <v>1232</v>
      </c>
      <c r="B136" s="25" t="s">
        <v>369</v>
      </c>
      <c r="C136" s="25" t="s">
        <v>370</v>
      </c>
      <c r="D136" s="25" t="s">
        <v>371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595.4</f>
        <v>595.4</v>
      </c>
      <c r="L136" s="32" t="s">
        <v>1110</v>
      </c>
      <c r="M136" s="31">
        <f>647.8</f>
        <v>647.79999999999995</v>
      </c>
      <c r="N136" s="32" t="s">
        <v>1114</v>
      </c>
      <c r="O136" s="31">
        <f>588.6</f>
        <v>588.6</v>
      </c>
      <c r="P136" s="32" t="s">
        <v>1116</v>
      </c>
      <c r="Q136" s="31">
        <f>638.2</f>
        <v>638.20000000000005</v>
      </c>
      <c r="R136" s="32" t="s">
        <v>681</v>
      </c>
      <c r="S136" s="33">
        <f>624.63</f>
        <v>624.63</v>
      </c>
      <c r="T136" s="30">
        <f>44511050</f>
        <v>44511050</v>
      </c>
      <c r="U136" s="30">
        <f>3298610</f>
        <v>3298610</v>
      </c>
      <c r="V136" s="30">
        <f>27797068299</f>
        <v>27797068299</v>
      </c>
      <c r="W136" s="30">
        <f>2021844210</f>
        <v>2021844210</v>
      </c>
      <c r="X136" s="34">
        <f>22</f>
        <v>22</v>
      </c>
    </row>
    <row r="137" spans="1:24">
      <c r="A137" s="25" t="s">
        <v>1232</v>
      </c>
      <c r="B137" s="25" t="s">
        <v>372</v>
      </c>
      <c r="C137" s="25" t="s">
        <v>373</v>
      </c>
      <c r="D137" s="25" t="s">
        <v>374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295.7</f>
        <v>295.7</v>
      </c>
      <c r="L137" s="32" t="s">
        <v>1110</v>
      </c>
      <c r="M137" s="31">
        <f>303.7</f>
        <v>303.7</v>
      </c>
      <c r="N137" s="32" t="s">
        <v>1114</v>
      </c>
      <c r="O137" s="31">
        <f>294.6</f>
        <v>294.60000000000002</v>
      </c>
      <c r="P137" s="32" t="s">
        <v>1116</v>
      </c>
      <c r="Q137" s="31">
        <f>301.7</f>
        <v>301.7</v>
      </c>
      <c r="R137" s="32" t="s">
        <v>681</v>
      </c>
      <c r="S137" s="33">
        <f>299.92</f>
        <v>299.92</v>
      </c>
      <c r="T137" s="30">
        <f>64270250</f>
        <v>64270250</v>
      </c>
      <c r="U137" s="30">
        <f>59011920</f>
        <v>59011920</v>
      </c>
      <c r="V137" s="30">
        <f>19265342828</f>
        <v>19265342828</v>
      </c>
      <c r="W137" s="30">
        <f>17692887109</f>
        <v>17692887109</v>
      </c>
      <c r="X137" s="34">
        <f>22</f>
        <v>22</v>
      </c>
    </row>
    <row r="138" spans="1:24">
      <c r="A138" s="25" t="s">
        <v>1232</v>
      </c>
      <c r="B138" s="25" t="s">
        <v>375</v>
      </c>
      <c r="C138" s="25" t="s">
        <v>973</v>
      </c>
      <c r="D138" s="25" t="s">
        <v>376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4990</f>
        <v>4990</v>
      </c>
      <c r="L138" s="32" t="s">
        <v>1110</v>
      </c>
      <c r="M138" s="31">
        <f>5360</f>
        <v>5360</v>
      </c>
      <c r="N138" s="32" t="s">
        <v>1114</v>
      </c>
      <c r="O138" s="31">
        <f>4935</f>
        <v>4935</v>
      </c>
      <c r="P138" s="32" t="s">
        <v>1116</v>
      </c>
      <c r="Q138" s="31">
        <f>5270</f>
        <v>5270</v>
      </c>
      <c r="R138" s="32" t="s">
        <v>681</v>
      </c>
      <c r="S138" s="33">
        <f>5186.59</f>
        <v>5186.59</v>
      </c>
      <c r="T138" s="30">
        <f>84959</f>
        <v>84959</v>
      </c>
      <c r="U138" s="30">
        <f>5040</f>
        <v>5040</v>
      </c>
      <c r="V138" s="30">
        <f>440705818</f>
        <v>440705818</v>
      </c>
      <c r="W138" s="30">
        <f>26096518</f>
        <v>26096518</v>
      </c>
      <c r="X138" s="34">
        <f>22</f>
        <v>22</v>
      </c>
    </row>
    <row r="139" spans="1:24">
      <c r="A139" s="25" t="s">
        <v>1232</v>
      </c>
      <c r="B139" s="25" t="s">
        <v>377</v>
      </c>
      <c r="C139" s="25" t="s">
        <v>378</v>
      </c>
      <c r="D139" s="25" t="s">
        <v>379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2820</f>
        <v>2820</v>
      </c>
      <c r="L139" s="32" t="s">
        <v>1110</v>
      </c>
      <c r="M139" s="31">
        <f>3035</f>
        <v>3035</v>
      </c>
      <c r="N139" s="32" t="s">
        <v>1115</v>
      </c>
      <c r="O139" s="31">
        <f>2766</f>
        <v>2766</v>
      </c>
      <c r="P139" s="32" t="s">
        <v>1116</v>
      </c>
      <c r="Q139" s="31">
        <f>2889</f>
        <v>2889</v>
      </c>
      <c r="R139" s="32" t="s">
        <v>681</v>
      </c>
      <c r="S139" s="33">
        <f>2875.91</f>
        <v>2875.91</v>
      </c>
      <c r="T139" s="30">
        <f>170082</f>
        <v>170082</v>
      </c>
      <c r="U139" s="30">
        <f>38364</f>
        <v>38364</v>
      </c>
      <c r="V139" s="30">
        <f>488516303</f>
        <v>488516303</v>
      </c>
      <c r="W139" s="30">
        <f>109866262</f>
        <v>109866262</v>
      </c>
      <c r="X139" s="34">
        <f>22</f>
        <v>22</v>
      </c>
    </row>
    <row r="140" spans="1:24">
      <c r="A140" s="25" t="s">
        <v>1232</v>
      </c>
      <c r="B140" s="25" t="s">
        <v>380</v>
      </c>
      <c r="C140" s="25" t="s">
        <v>381</v>
      </c>
      <c r="D140" s="25" t="s">
        <v>382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3275</f>
        <v>3275</v>
      </c>
      <c r="L140" s="32" t="s">
        <v>1110</v>
      </c>
      <c r="M140" s="31">
        <f>3505</f>
        <v>3505</v>
      </c>
      <c r="N140" s="32" t="s">
        <v>1114</v>
      </c>
      <c r="O140" s="31">
        <f>3260</f>
        <v>3260</v>
      </c>
      <c r="P140" s="32" t="s">
        <v>1116</v>
      </c>
      <c r="Q140" s="31">
        <f>3480</f>
        <v>3480</v>
      </c>
      <c r="R140" s="32" t="s">
        <v>681</v>
      </c>
      <c r="S140" s="33">
        <f>3392.05</f>
        <v>3392.05</v>
      </c>
      <c r="T140" s="30">
        <f>179219</f>
        <v>179219</v>
      </c>
      <c r="U140" s="30" t="str">
        <f>"－"</f>
        <v>－</v>
      </c>
      <c r="V140" s="30">
        <f>607804735</f>
        <v>607804735</v>
      </c>
      <c r="W140" s="30" t="str">
        <f>"－"</f>
        <v>－</v>
      </c>
      <c r="X140" s="34">
        <f>22</f>
        <v>22</v>
      </c>
    </row>
    <row r="141" spans="1:24">
      <c r="A141" s="25" t="s">
        <v>1232</v>
      </c>
      <c r="B141" s="25" t="s">
        <v>383</v>
      </c>
      <c r="C141" s="25" t="s">
        <v>384</v>
      </c>
      <c r="D141" s="25" t="s">
        <v>385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9995</f>
        <v>9995</v>
      </c>
      <c r="L141" s="32" t="s">
        <v>1110</v>
      </c>
      <c r="M141" s="31">
        <f>9999</f>
        <v>9999</v>
      </c>
      <c r="N141" s="32" t="s">
        <v>1113</v>
      </c>
      <c r="O141" s="31">
        <f>9433</f>
        <v>9433</v>
      </c>
      <c r="P141" s="32" t="s">
        <v>1114</v>
      </c>
      <c r="Q141" s="31">
        <f>9508</f>
        <v>9508</v>
      </c>
      <c r="R141" s="32" t="s">
        <v>681</v>
      </c>
      <c r="S141" s="33">
        <f>9642.5</f>
        <v>9642.5</v>
      </c>
      <c r="T141" s="30">
        <f>313904</f>
        <v>313904</v>
      </c>
      <c r="U141" s="30">
        <f>62100</f>
        <v>62100</v>
      </c>
      <c r="V141" s="30">
        <f>3023557207</f>
        <v>3023557207</v>
      </c>
      <c r="W141" s="30">
        <f>594477141</f>
        <v>594477141</v>
      </c>
      <c r="X141" s="34">
        <f>22</f>
        <v>22</v>
      </c>
    </row>
    <row r="142" spans="1:24">
      <c r="A142" s="25" t="s">
        <v>1232</v>
      </c>
      <c r="B142" s="25" t="s">
        <v>386</v>
      </c>
      <c r="C142" s="25" t="s">
        <v>387</v>
      </c>
      <c r="D142" s="25" t="s">
        <v>388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2778</f>
        <v>2778</v>
      </c>
      <c r="L142" s="32" t="s">
        <v>1110</v>
      </c>
      <c r="M142" s="31">
        <f>3230</f>
        <v>3230</v>
      </c>
      <c r="N142" s="32" t="s">
        <v>1113</v>
      </c>
      <c r="O142" s="31">
        <f>2772</f>
        <v>2772</v>
      </c>
      <c r="P142" s="32" t="s">
        <v>1110</v>
      </c>
      <c r="Q142" s="31">
        <f>3010</f>
        <v>3010</v>
      </c>
      <c r="R142" s="32" t="s">
        <v>681</v>
      </c>
      <c r="S142" s="33">
        <f>3019.18</f>
        <v>3019.18</v>
      </c>
      <c r="T142" s="30">
        <f>5902655</f>
        <v>5902655</v>
      </c>
      <c r="U142" s="30">
        <f>13333</f>
        <v>13333</v>
      </c>
      <c r="V142" s="30">
        <f>17820083404</f>
        <v>17820083404</v>
      </c>
      <c r="W142" s="30">
        <f>40738427</f>
        <v>40738427</v>
      </c>
      <c r="X142" s="34">
        <f>22</f>
        <v>22</v>
      </c>
    </row>
    <row r="143" spans="1:24">
      <c r="A143" s="25" t="s">
        <v>1232</v>
      </c>
      <c r="B143" s="25" t="s">
        <v>389</v>
      </c>
      <c r="C143" s="25" t="s">
        <v>390</v>
      </c>
      <c r="D143" s="25" t="s">
        <v>391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35360</f>
        <v>35360</v>
      </c>
      <c r="L143" s="32" t="s">
        <v>1110</v>
      </c>
      <c r="M143" s="31">
        <f>40300</f>
        <v>40300</v>
      </c>
      <c r="N143" s="32" t="s">
        <v>777</v>
      </c>
      <c r="O143" s="31">
        <f>35220</f>
        <v>35220</v>
      </c>
      <c r="P143" s="32" t="s">
        <v>1110</v>
      </c>
      <c r="Q143" s="31">
        <f>39800</f>
        <v>39800</v>
      </c>
      <c r="R143" s="32" t="s">
        <v>681</v>
      </c>
      <c r="S143" s="33">
        <f>37609.55</f>
        <v>37609.550000000003</v>
      </c>
      <c r="T143" s="30">
        <f>12411</f>
        <v>12411</v>
      </c>
      <c r="U143" s="30">
        <f>1</f>
        <v>1</v>
      </c>
      <c r="V143" s="30">
        <f>475429430</f>
        <v>475429430</v>
      </c>
      <c r="W143" s="30">
        <f>35720</f>
        <v>35720</v>
      </c>
      <c r="X143" s="34">
        <f>22</f>
        <v>22</v>
      </c>
    </row>
    <row r="144" spans="1:24">
      <c r="A144" s="25" t="s">
        <v>1232</v>
      </c>
      <c r="B144" s="25" t="s">
        <v>392</v>
      </c>
      <c r="C144" s="25" t="s">
        <v>393</v>
      </c>
      <c r="D144" s="25" t="s">
        <v>394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10</v>
      </c>
      <c r="K144" s="31">
        <f>4195</f>
        <v>4195</v>
      </c>
      <c r="L144" s="32" t="s">
        <v>1110</v>
      </c>
      <c r="M144" s="31">
        <f>4868</f>
        <v>4868</v>
      </c>
      <c r="N144" s="32" t="s">
        <v>778</v>
      </c>
      <c r="O144" s="31">
        <f>4100</f>
        <v>4100</v>
      </c>
      <c r="P144" s="32" t="s">
        <v>1116</v>
      </c>
      <c r="Q144" s="31">
        <f>4731</f>
        <v>4731</v>
      </c>
      <c r="R144" s="32" t="s">
        <v>681</v>
      </c>
      <c r="S144" s="33">
        <f>4461.59</f>
        <v>4461.59</v>
      </c>
      <c r="T144" s="30">
        <f>101770</f>
        <v>101770</v>
      </c>
      <c r="U144" s="30">
        <f>30</f>
        <v>30</v>
      </c>
      <c r="V144" s="30">
        <f>473369680</f>
        <v>473369680</v>
      </c>
      <c r="W144" s="30">
        <f>141600</f>
        <v>141600</v>
      </c>
      <c r="X144" s="34">
        <f>22</f>
        <v>22</v>
      </c>
    </row>
    <row r="145" spans="1:24">
      <c r="A145" s="25" t="s">
        <v>1232</v>
      </c>
      <c r="B145" s="25" t="s">
        <v>395</v>
      </c>
      <c r="C145" s="25" t="s">
        <v>396</v>
      </c>
      <c r="D145" s="25" t="s">
        <v>397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12970</f>
        <v>12970</v>
      </c>
      <c r="L145" s="32" t="s">
        <v>1110</v>
      </c>
      <c r="M145" s="31">
        <f>14845</f>
        <v>14845</v>
      </c>
      <c r="N145" s="32" t="s">
        <v>777</v>
      </c>
      <c r="O145" s="31">
        <f>12825</f>
        <v>12825</v>
      </c>
      <c r="P145" s="32" t="s">
        <v>1110</v>
      </c>
      <c r="Q145" s="31">
        <f>14120</f>
        <v>14120</v>
      </c>
      <c r="R145" s="32" t="s">
        <v>681</v>
      </c>
      <c r="S145" s="33">
        <f>13783.86</f>
        <v>13783.86</v>
      </c>
      <c r="T145" s="30">
        <f>14726</f>
        <v>14726</v>
      </c>
      <c r="U145" s="30" t="str">
        <f>"－"</f>
        <v>－</v>
      </c>
      <c r="V145" s="30">
        <f>206441115</f>
        <v>206441115</v>
      </c>
      <c r="W145" s="30" t="str">
        <f>"－"</f>
        <v>－</v>
      </c>
      <c r="X145" s="34">
        <f>22</f>
        <v>22</v>
      </c>
    </row>
    <row r="146" spans="1:24">
      <c r="A146" s="25" t="s">
        <v>1232</v>
      </c>
      <c r="B146" s="25" t="s">
        <v>398</v>
      </c>
      <c r="C146" s="25" t="s">
        <v>399</v>
      </c>
      <c r="D146" s="25" t="s">
        <v>400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13150</f>
        <v>13150</v>
      </c>
      <c r="L146" s="32" t="s">
        <v>1110</v>
      </c>
      <c r="M146" s="31">
        <f>17390</f>
        <v>17390</v>
      </c>
      <c r="N146" s="32" t="s">
        <v>883</v>
      </c>
      <c r="O146" s="31">
        <f>13150</f>
        <v>13150</v>
      </c>
      <c r="P146" s="32" t="s">
        <v>1110</v>
      </c>
      <c r="Q146" s="31">
        <f>16010</f>
        <v>16010</v>
      </c>
      <c r="R146" s="32" t="s">
        <v>681</v>
      </c>
      <c r="S146" s="33">
        <f>14746.59</f>
        <v>14746.59</v>
      </c>
      <c r="T146" s="30">
        <f>22459</f>
        <v>22459</v>
      </c>
      <c r="U146" s="30" t="str">
        <f>"－"</f>
        <v>－</v>
      </c>
      <c r="V146" s="30">
        <f>346586635</f>
        <v>346586635</v>
      </c>
      <c r="W146" s="30" t="str">
        <f>"－"</f>
        <v>－</v>
      </c>
      <c r="X146" s="34">
        <f>22</f>
        <v>22</v>
      </c>
    </row>
    <row r="147" spans="1:24">
      <c r="A147" s="25" t="s">
        <v>1232</v>
      </c>
      <c r="B147" s="25" t="s">
        <v>401</v>
      </c>
      <c r="C147" s="25" t="s">
        <v>402</v>
      </c>
      <c r="D147" s="25" t="s">
        <v>403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23305</f>
        <v>23305</v>
      </c>
      <c r="L147" s="32" t="s">
        <v>1110</v>
      </c>
      <c r="M147" s="31">
        <f>26905</f>
        <v>26905</v>
      </c>
      <c r="N147" s="32" t="s">
        <v>777</v>
      </c>
      <c r="O147" s="31">
        <f>23120</f>
        <v>23120</v>
      </c>
      <c r="P147" s="32" t="s">
        <v>876</v>
      </c>
      <c r="Q147" s="31">
        <f>26365</f>
        <v>26365</v>
      </c>
      <c r="R147" s="32" t="s">
        <v>681</v>
      </c>
      <c r="S147" s="33">
        <f>24809.25</f>
        <v>24809.25</v>
      </c>
      <c r="T147" s="30">
        <f>721</f>
        <v>721</v>
      </c>
      <c r="U147" s="30">
        <f>30</f>
        <v>30</v>
      </c>
      <c r="V147" s="30">
        <f>18389780</f>
        <v>18389780</v>
      </c>
      <c r="W147" s="30">
        <f>705150</f>
        <v>705150</v>
      </c>
      <c r="X147" s="34">
        <f>20</f>
        <v>20</v>
      </c>
    </row>
    <row r="148" spans="1:24">
      <c r="A148" s="25" t="s">
        <v>1232</v>
      </c>
      <c r="B148" s="25" t="s">
        <v>404</v>
      </c>
      <c r="C148" s="25" t="s">
        <v>405</v>
      </c>
      <c r="D148" s="25" t="s">
        <v>406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54980</f>
        <v>54980</v>
      </c>
      <c r="L148" s="32" t="s">
        <v>1110</v>
      </c>
      <c r="M148" s="31">
        <f>56960</f>
        <v>56960</v>
      </c>
      <c r="N148" s="32" t="s">
        <v>1114</v>
      </c>
      <c r="O148" s="31">
        <f>54980</f>
        <v>54980</v>
      </c>
      <c r="P148" s="32" t="s">
        <v>1110</v>
      </c>
      <c r="Q148" s="31">
        <f>56960</f>
        <v>56960</v>
      </c>
      <c r="R148" s="32" t="s">
        <v>1114</v>
      </c>
      <c r="S148" s="33">
        <f>55980</f>
        <v>55980</v>
      </c>
      <c r="T148" s="30">
        <f>2310</f>
        <v>2310</v>
      </c>
      <c r="U148" s="30" t="str">
        <f>"－"</f>
        <v>－</v>
      </c>
      <c r="V148" s="30">
        <f>129225600</f>
        <v>129225600</v>
      </c>
      <c r="W148" s="30" t="str">
        <f>"－"</f>
        <v>－</v>
      </c>
      <c r="X148" s="34">
        <f>18</f>
        <v>18</v>
      </c>
    </row>
    <row r="149" spans="1:24">
      <c r="A149" s="25" t="s">
        <v>1232</v>
      </c>
      <c r="B149" s="25" t="s">
        <v>407</v>
      </c>
      <c r="C149" s="25" t="s">
        <v>974</v>
      </c>
      <c r="D149" s="25" t="s">
        <v>408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373.1</f>
        <v>373.1</v>
      </c>
      <c r="L149" s="32" t="s">
        <v>1110</v>
      </c>
      <c r="M149" s="31">
        <f>377.6</f>
        <v>377.6</v>
      </c>
      <c r="N149" s="32" t="s">
        <v>1145</v>
      </c>
      <c r="O149" s="31">
        <f>363.9</f>
        <v>363.9</v>
      </c>
      <c r="P149" s="32" t="s">
        <v>679</v>
      </c>
      <c r="Q149" s="31">
        <f>370</f>
        <v>370</v>
      </c>
      <c r="R149" s="32" t="s">
        <v>681</v>
      </c>
      <c r="S149" s="33">
        <f>371.5</f>
        <v>371.5</v>
      </c>
      <c r="T149" s="30">
        <f>33538790</f>
        <v>33538790</v>
      </c>
      <c r="U149" s="30">
        <f>1072880</f>
        <v>1072880</v>
      </c>
      <c r="V149" s="30">
        <f>12463796264</f>
        <v>12463796264</v>
      </c>
      <c r="W149" s="30">
        <f>398801415</f>
        <v>398801415</v>
      </c>
      <c r="X149" s="34">
        <f>22</f>
        <v>22</v>
      </c>
    </row>
    <row r="150" spans="1:24">
      <c r="A150" s="25" t="s">
        <v>1232</v>
      </c>
      <c r="B150" s="25" t="s">
        <v>409</v>
      </c>
      <c r="C150" s="25" t="s">
        <v>975</v>
      </c>
      <c r="D150" s="25" t="s">
        <v>410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51110</f>
        <v>51110</v>
      </c>
      <c r="L150" s="32" t="s">
        <v>1110</v>
      </c>
      <c r="M150" s="31">
        <f>54480</f>
        <v>54480</v>
      </c>
      <c r="N150" s="32" t="s">
        <v>778</v>
      </c>
      <c r="O150" s="31">
        <f>50910</f>
        <v>50910</v>
      </c>
      <c r="P150" s="32" t="s">
        <v>1110</v>
      </c>
      <c r="Q150" s="31">
        <f>53810</f>
        <v>53810</v>
      </c>
      <c r="R150" s="32" t="s">
        <v>681</v>
      </c>
      <c r="S150" s="33">
        <f>53152.11</f>
        <v>53152.11</v>
      </c>
      <c r="T150" s="30">
        <f>2080</f>
        <v>2080</v>
      </c>
      <c r="U150" s="30" t="str">
        <f>"－"</f>
        <v>－</v>
      </c>
      <c r="V150" s="30">
        <f>111219200</f>
        <v>111219200</v>
      </c>
      <c r="W150" s="30" t="str">
        <f>"－"</f>
        <v>－</v>
      </c>
      <c r="X150" s="34">
        <f>19</f>
        <v>19</v>
      </c>
    </row>
    <row r="151" spans="1:24">
      <c r="A151" s="25" t="s">
        <v>1232</v>
      </c>
      <c r="B151" s="25" t="s">
        <v>411</v>
      </c>
      <c r="C151" s="25" t="s">
        <v>412</v>
      </c>
      <c r="D151" s="25" t="s">
        <v>976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5720</f>
        <v>5720</v>
      </c>
      <c r="L151" s="32" t="s">
        <v>1110</v>
      </c>
      <c r="M151" s="31">
        <f>6150</f>
        <v>6150</v>
      </c>
      <c r="N151" s="32" t="s">
        <v>1114</v>
      </c>
      <c r="O151" s="31">
        <f>5672</f>
        <v>5672</v>
      </c>
      <c r="P151" s="32" t="s">
        <v>1116</v>
      </c>
      <c r="Q151" s="31">
        <f>6066</f>
        <v>6066</v>
      </c>
      <c r="R151" s="32" t="s">
        <v>681</v>
      </c>
      <c r="S151" s="33">
        <f>5957.73</f>
        <v>5957.73</v>
      </c>
      <c r="T151" s="30">
        <f>149130</f>
        <v>149130</v>
      </c>
      <c r="U151" s="30" t="str">
        <f>"－"</f>
        <v>－</v>
      </c>
      <c r="V151" s="30">
        <f>882027690</f>
        <v>882027690</v>
      </c>
      <c r="W151" s="30" t="str">
        <f>"－"</f>
        <v>－</v>
      </c>
      <c r="X151" s="34">
        <f>22</f>
        <v>22</v>
      </c>
    </row>
    <row r="152" spans="1:24">
      <c r="A152" s="25" t="s">
        <v>1232</v>
      </c>
      <c r="B152" s="25" t="s">
        <v>413</v>
      </c>
      <c r="C152" s="25" t="s">
        <v>977</v>
      </c>
      <c r="D152" s="25" t="s">
        <v>978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2139</f>
        <v>2139</v>
      </c>
      <c r="L152" s="32" t="s">
        <v>1110</v>
      </c>
      <c r="M152" s="31">
        <f>2252</f>
        <v>2252</v>
      </c>
      <c r="N152" s="32" t="s">
        <v>1115</v>
      </c>
      <c r="O152" s="31">
        <f>2105</f>
        <v>2105</v>
      </c>
      <c r="P152" s="32" t="s">
        <v>1116</v>
      </c>
      <c r="Q152" s="31">
        <f>2180</f>
        <v>2180</v>
      </c>
      <c r="R152" s="32" t="s">
        <v>681</v>
      </c>
      <c r="S152" s="33">
        <f>2187.68</f>
        <v>2187.6799999999998</v>
      </c>
      <c r="T152" s="30">
        <f>151800</f>
        <v>151800</v>
      </c>
      <c r="U152" s="30">
        <f>41300</f>
        <v>41300</v>
      </c>
      <c r="V152" s="30">
        <f>331840750</f>
        <v>331840750</v>
      </c>
      <c r="W152" s="30">
        <f>91215570</f>
        <v>91215570</v>
      </c>
      <c r="X152" s="34">
        <f>22</f>
        <v>22</v>
      </c>
    </row>
    <row r="153" spans="1:24">
      <c r="A153" s="25" t="s">
        <v>1232</v>
      </c>
      <c r="B153" s="25" t="s">
        <v>417</v>
      </c>
      <c r="C153" s="25" t="s">
        <v>418</v>
      </c>
      <c r="D153" s="25" t="s">
        <v>419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1639</f>
        <v>1639</v>
      </c>
      <c r="L153" s="32" t="s">
        <v>1110</v>
      </c>
      <c r="M153" s="31">
        <f>1731</f>
        <v>1731</v>
      </c>
      <c r="N153" s="32" t="s">
        <v>1113</v>
      </c>
      <c r="O153" s="31">
        <f>1608.5</f>
        <v>1608.5</v>
      </c>
      <c r="P153" s="32" t="s">
        <v>1110</v>
      </c>
      <c r="Q153" s="31">
        <f>1720</f>
        <v>1720</v>
      </c>
      <c r="R153" s="32" t="s">
        <v>1114</v>
      </c>
      <c r="S153" s="33">
        <f>1673.47</f>
        <v>1673.47</v>
      </c>
      <c r="T153" s="30">
        <f>2080</f>
        <v>2080</v>
      </c>
      <c r="U153" s="30" t="str">
        <f t="shared" ref="U153:U166" si="0">"－"</f>
        <v>－</v>
      </c>
      <c r="V153" s="30">
        <f>3497370</f>
        <v>3497370</v>
      </c>
      <c r="W153" s="30" t="str">
        <f t="shared" ref="W153:W166" si="1">"－"</f>
        <v>－</v>
      </c>
      <c r="X153" s="34">
        <f>18</f>
        <v>18</v>
      </c>
    </row>
    <row r="154" spans="1:24">
      <c r="A154" s="25" t="s">
        <v>1232</v>
      </c>
      <c r="B154" s="25" t="s">
        <v>420</v>
      </c>
      <c r="C154" s="25" t="s">
        <v>421</v>
      </c>
      <c r="D154" s="25" t="s">
        <v>422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491.5</f>
        <v>491.5</v>
      </c>
      <c r="L154" s="32" t="s">
        <v>1110</v>
      </c>
      <c r="M154" s="31">
        <f>539.9</f>
        <v>539.9</v>
      </c>
      <c r="N154" s="32" t="s">
        <v>1113</v>
      </c>
      <c r="O154" s="31">
        <f>477.6</f>
        <v>477.6</v>
      </c>
      <c r="P154" s="32" t="s">
        <v>1110</v>
      </c>
      <c r="Q154" s="31">
        <f>505</f>
        <v>505</v>
      </c>
      <c r="R154" s="32" t="s">
        <v>681</v>
      </c>
      <c r="S154" s="33">
        <f>509.1</f>
        <v>509.1</v>
      </c>
      <c r="T154" s="30">
        <f>63480</f>
        <v>63480</v>
      </c>
      <c r="U154" s="30" t="str">
        <f t="shared" si="0"/>
        <v>－</v>
      </c>
      <c r="V154" s="30">
        <f>32317111</f>
        <v>32317111</v>
      </c>
      <c r="W154" s="30" t="str">
        <f t="shared" si="1"/>
        <v>－</v>
      </c>
      <c r="X154" s="34">
        <f>22</f>
        <v>22</v>
      </c>
    </row>
    <row r="155" spans="1:24">
      <c r="A155" s="25" t="s">
        <v>1232</v>
      </c>
      <c r="B155" s="25" t="s">
        <v>423</v>
      </c>
      <c r="C155" s="25" t="s">
        <v>424</v>
      </c>
      <c r="D155" s="25" t="s">
        <v>425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2353</f>
        <v>2353</v>
      </c>
      <c r="L155" s="32" t="s">
        <v>1110</v>
      </c>
      <c r="M155" s="31">
        <f>2450</f>
        <v>2450</v>
      </c>
      <c r="N155" s="32" t="s">
        <v>777</v>
      </c>
      <c r="O155" s="31">
        <f>2319.5</f>
        <v>2319.5</v>
      </c>
      <c r="P155" s="32" t="s">
        <v>1116</v>
      </c>
      <c r="Q155" s="31">
        <f>2428.5</f>
        <v>2428.5</v>
      </c>
      <c r="R155" s="32" t="s">
        <v>681</v>
      </c>
      <c r="S155" s="33">
        <f>2383.19</f>
        <v>2383.19</v>
      </c>
      <c r="T155" s="30">
        <f>2630</f>
        <v>2630</v>
      </c>
      <c r="U155" s="30" t="str">
        <f t="shared" si="0"/>
        <v>－</v>
      </c>
      <c r="V155" s="30">
        <f>6272185</f>
        <v>6272185</v>
      </c>
      <c r="W155" s="30" t="str">
        <f t="shared" si="1"/>
        <v>－</v>
      </c>
      <c r="X155" s="34">
        <f>16</f>
        <v>16</v>
      </c>
    </row>
    <row r="156" spans="1:24">
      <c r="A156" s="25" t="s">
        <v>1232</v>
      </c>
      <c r="B156" s="25" t="s">
        <v>426</v>
      </c>
      <c r="C156" s="25" t="s">
        <v>427</v>
      </c>
      <c r="D156" s="25" t="s">
        <v>428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888</f>
        <v>888</v>
      </c>
      <c r="L156" s="32" t="s">
        <v>1110</v>
      </c>
      <c r="M156" s="31">
        <f>916</f>
        <v>916</v>
      </c>
      <c r="N156" s="32" t="s">
        <v>1145</v>
      </c>
      <c r="O156" s="31">
        <f>865.4</f>
        <v>865.4</v>
      </c>
      <c r="P156" s="32" t="s">
        <v>1112</v>
      </c>
      <c r="Q156" s="31">
        <f>890</f>
        <v>890</v>
      </c>
      <c r="R156" s="32" t="s">
        <v>681</v>
      </c>
      <c r="S156" s="33">
        <f>892.08</f>
        <v>892.08</v>
      </c>
      <c r="T156" s="30">
        <f>46290</f>
        <v>46290</v>
      </c>
      <c r="U156" s="30" t="str">
        <f t="shared" si="0"/>
        <v>－</v>
      </c>
      <c r="V156" s="30">
        <f>41349985</f>
        <v>41349985</v>
      </c>
      <c r="W156" s="30" t="str">
        <f t="shared" si="1"/>
        <v>－</v>
      </c>
      <c r="X156" s="34">
        <f>22</f>
        <v>22</v>
      </c>
    </row>
    <row r="157" spans="1:24">
      <c r="A157" s="25" t="s">
        <v>1232</v>
      </c>
      <c r="B157" s="25" t="s">
        <v>429</v>
      </c>
      <c r="C157" s="25" t="s">
        <v>430</v>
      </c>
      <c r="D157" s="25" t="s">
        <v>431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512.1</f>
        <v>512.1</v>
      </c>
      <c r="L157" s="32" t="s">
        <v>1110</v>
      </c>
      <c r="M157" s="31">
        <f>540.4</f>
        <v>540.4</v>
      </c>
      <c r="N157" s="32" t="s">
        <v>1145</v>
      </c>
      <c r="O157" s="31">
        <f>509.3</f>
        <v>509.3</v>
      </c>
      <c r="P157" s="32" t="s">
        <v>1112</v>
      </c>
      <c r="Q157" s="31">
        <f>524.8</f>
        <v>524.79999999999995</v>
      </c>
      <c r="R157" s="32" t="s">
        <v>681</v>
      </c>
      <c r="S157" s="33">
        <f>525.25</f>
        <v>525.25</v>
      </c>
      <c r="T157" s="30">
        <f>251460</f>
        <v>251460</v>
      </c>
      <c r="U157" s="30" t="str">
        <f t="shared" si="0"/>
        <v>－</v>
      </c>
      <c r="V157" s="30">
        <f>131512291</f>
        <v>131512291</v>
      </c>
      <c r="W157" s="30" t="str">
        <f t="shared" si="1"/>
        <v>－</v>
      </c>
      <c r="X157" s="34">
        <f>22</f>
        <v>22</v>
      </c>
    </row>
    <row r="158" spans="1:24">
      <c r="A158" s="25" t="s">
        <v>1232</v>
      </c>
      <c r="B158" s="25" t="s">
        <v>432</v>
      </c>
      <c r="C158" s="25" t="s">
        <v>433</v>
      </c>
      <c r="D158" s="25" t="s">
        <v>434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</v>
      </c>
      <c r="K158" s="31">
        <f>1107</f>
        <v>1107</v>
      </c>
      <c r="L158" s="32" t="s">
        <v>1110</v>
      </c>
      <c r="M158" s="31">
        <f>1166</f>
        <v>1166</v>
      </c>
      <c r="N158" s="32" t="s">
        <v>675</v>
      </c>
      <c r="O158" s="31">
        <f>962</f>
        <v>962</v>
      </c>
      <c r="P158" s="32" t="s">
        <v>1112</v>
      </c>
      <c r="Q158" s="31">
        <f>997</f>
        <v>997</v>
      </c>
      <c r="R158" s="32" t="s">
        <v>681</v>
      </c>
      <c r="S158" s="33">
        <f>1047.41</f>
        <v>1047.4100000000001</v>
      </c>
      <c r="T158" s="30">
        <f>918328</f>
        <v>918328</v>
      </c>
      <c r="U158" s="30" t="str">
        <f t="shared" si="0"/>
        <v>－</v>
      </c>
      <c r="V158" s="30">
        <f>963965792</f>
        <v>963965792</v>
      </c>
      <c r="W158" s="30" t="str">
        <f t="shared" si="1"/>
        <v>－</v>
      </c>
      <c r="X158" s="34">
        <f>22</f>
        <v>22</v>
      </c>
    </row>
    <row r="159" spans="1:24">
      <c r="A159" s="25" t="s">
        <v>1232</v>
      </c>
      <c r="B159" s="25" t="s">
        <v>435</v>
      </c>
      <c r="C159" s="25" t="s">
        <v>436</v>
      </c>
      <c r="D159" s="25" t="s">
        <v>437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1345</f>
        <v>1345</v>
      </c>
      <c r="L159" s="32" t="s">
        <v>1110</v>
      </c>
      <c r="M159" s="31">
        <f>1549.5</f>
        <v>1549.5</v>
      </c>
      <c r="N159" s="32" t="s">
        <v>1113</v>
      </c>
      <c r="O159" s="31">
        <f>1332</f>
        <v>1332</v>
      </c>
      <c r="P159" s="32" t="s">
        <v>1110</v>
      </c>
      <c r="Q159" s="31">
        <f>1443</f>
        <v>1443</v>
      </c>
      <c r="R159" s="32" t="s">
        <v>681</v>
      </c>
      <c r="S159" s="33">
        <f>1445.93</f>
        <v>1445.93</v>
      </c>
      <c r="T159" s="30">
        <f>104870</f>
        <v>104870</v>
      </c>
      <c r="U159" s="30" t="str">
        <f t="shared" si="0"/>
        <v>－</v>
      </c>
      <c r="V159" s="30">
        <f>152469300</f>
        <v>152469300</v>
      </c>
      <c r="W159" s="30" t="str">
        <f t="shared" si="1"/>
        <v>－</v>
      </c>
      <c r="X159" s="34">
        <f>22</f>
        <v>22</v>
      </c>
    </row>
    <row r="160" spans="1:24">
      <c r="A160" s="25" t="s">
        <v>1232</v>
      </c>
      <c r="B160" s="25" t="s">
        <v>438</v>
      </c>
      <c r="C160" s="25" t="s">
        <v>439</v>
      </c>
      <c r="D160" s="25" t="s">
        <v>440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7490</f>
        <v>7490</v>
      </c>
      <c r="L160" s="32" t="s">
        <v>1110</v>
      </c>
      <c r="M160" s="31">
        <f>8489</f>
        <v>8489</v>
      </c>
      <c r="N160" s="32" t="s">
        <v>778</v>
      </c>
      <c r="O160" s="31">
        <f>7305</f>
        <v>7305</v>
      </c>
      <c r="P160" s="32" t="s">
        <v>1110</v>
      </c>
      <c r="Q160" s="31">
        <f>7745</f>
        <v>7745</v>
      </c>
      <c r="R160" s="32" t="s">
        <v>681</v>
      </c>
      <c r="S160" s="33">
        <f>7762.68</f>
        <v>7762.68</v>
      </c>
      <c r="T160" s="30">
        <f>12258</f>
        <v>12258</v>
      </c>
      <c r="U160" s="30" t="str">
        <f t="shared" si="0"/>
        <v>－</v>
      </c>
      <c r="V160" s="30">
        <f>97366136</f>
        <v>97366136</v>
      </c>
      <c r="W160" s="30" t="str">
        <f t="shared" si="1"/>
        <v>－</v>
      </c>
      <c r="X160" s="34">
        <f>22</f>
        <v>22</v>
      </c>
    </row>
    <row r="161" spans="1:24">
      <c r="A161" s="25" t="s">
        <v>1232</v>
      </c>
      <c r="B161" s="25" t="s">
        <v>441</v>
      </c>
      <c r="C161" s="25" t="s">
        <v>442</v>
      </c>
      <c r="D161" s="25" t="s">
        <v>443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100</v>
      </c>
      <c r="K161" s="31">
        <f>485.2</f>
        <v>485.2</v>
      </c>
      <c r="L161" s="32" t="s">
        <v>1110</v>
      </c>
      <c r="M161" s="31">
        <f>539.5</f>
        <v>539.5</v>
      </c>
      <c r="N161" s="32" t="s">
        <v>759</v>
      </c>
      <c r="O161" s="31">
        <f>485.2</f>
        <v>485.2</v>
      </c>
      <c r="P161" s="32" t="s">
        <v>1110</v>
      </c>
      <c r="Q161" s="31">
        <f>516.1</f>
        <v>516.1</v>
      </c>
      <c r="R161" s="32" t="s">
        <v>681</v>
      </c>
      <c r="S161" s="33">
        <f>508.54</f>
        <v>508.54</v>
      </c>
      <c r="T161" s="30">
        <f>163800</f>
        <v>163800</v>
      </c>
      <c r="U161" s="30" t="str">
        <f t="shared" si="0"/>
        <v>－</v>
      </c>
      <c r="V161" s="30">
        <f>83213310</f>
        <v>83213310</v>
      </c>
      <c r="W161" s="30" t="str">
        <f t="shared" si="1"/>
        <v>－</v>
      </c>
      <c r="X161" s="34">
        <f>22</f>
        <v>22</v>
      </c>
    </row>
    <row r="162" spans="1:24">
      <c r="A162" s="25" t="s">
        <v>1232</v>
      </c>
      <c r="B162" s="25" t="s">
        <v>444</v>
      </c>
      <c r="C162" s="25" t="s">
        <v>445</v>
      </c>
      <c r="D162" s="25" t="s">
        <v>446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5887</f>
        <v>5887</v>
      </c>
      <c r="L162" s="32" t="s">
        <v>1110</v>
      </c>
      <c r="M162" s="31">
        <f>6179</f>
        <v>6179</v>
      </c>
      <c r="N162" s="32" t="s">
        <v>1145</v>
      </c>
      <c r="O162" s="31">
        <f>5817</f>
        <v>5817</v>
      </c>
      <c r="P162" s="32" t="s">
        <v>760</v>
      </c>
      <c r="Q162" s="31">
        <f>6010</f>
        <v>6010</v>
      </c>
      <c r="R162" s="32" t="s">
        <v>681</v>
      </c>
      <c r="S162" s="33">
        <f>5972.23</f>
        <v>5972.23</v>
      </c>
      <c r="T162" s="30">
        <f>68240</f>
        <v>68240</v>
      </c>
      <c r="U162" s="30" t="str">
        <f t="shared" si="0"/>
        <v>－</v>
      </c>
      <c r="V162" s="30">
        <f>408951470</f>
        <v>408951470</v>
      </c>
      <c r="W162" s="30" t="str">
        <f t="shared" si="1"/>
        <v>－</v>
      </c>
      <c r="X162" s="34">
        <f>22</f>
        <v>22</v>
      </c>
    </row>
    <row r="163" spans="1:24">
      <c r="A163" s="25" t="s">
        <v>1232</v>
      </c>
      <c r="B163" s="25" t="s">
        <v>447</v>
      </c>
      <c r="C163" s="25" t="s">
        <v>448</v>
      </c>
      <c r="D163" s="25" t="s">
        <v>449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2265</f>
        <v>2265</v>
      </c>
      <c r="L163" s="32" t="s">
        <v>1110</v>
      </c>
      <c r="M163" s="31">
        <f>2438.5</f>
        <v>2438.5</v>
      </c>
      <c r="N163" s="32" t="s">
        <v>1145</v>
      </c>
      <c r="O163" s="31">
        <f>2192</f>
        <v>2192</v>
      </c>
      <c r="P163" s="32" t="s">
        <v>681</v>
      </c>
      <c r="Q163" s="31">
        <f>2192</f>
        <v>2192</v>
      </c>
      <c r="R163" s="32" t="s">
        <v>681</v>
      </c>
      <c r="S163" s="33">
        <f>2307.66</f>
        <v>2307.66</v>
      </c>
      <c r="T163" s="30">
        <f>14450</f>
        <v>14450</v>
      </c>
      <c r="U163" s="30" t="str">
        <f t="shared" si="0"/>
        <v>－</v>
      </c>
      <c r="V163" s="30">
        <f>33723325</f>
        <v>33723325</v>
      </c>
      <c r="W163" s="30" t="str">
        <f t="shared" si="1"/>
        <v>－</v>
      </c>
      <c r="X163" s="34">
        <f>22</f>
        <v>22</v>
      </c>
    </row>
    <row r="164" spans="1:24">
      <c r="A164" s="25" t="s">
        <v>1232</v>
      </c>
      <c r="B164" s="25" t="s">
        <v>450</v>
      </c>
      <c r="C164" s="25" t="s">
        <v>451</v>
      </c>
      <c r="D164" s="25" t="s">
        <v>452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3200</f>
        <v>3200</v>
      </c>
      <c r="L164" s="32" t="s">
        <v>1110</v>
      </c>
      <c r="M164" s="31">
        <f>3495</f>
        <v>3495</v>
      </c>
      <c r="N164" s="32" t="s">
        <v>759</v>
      </c>
      <c r="O164" s="31">
        <f>3185</f>
        <v>3185</v>
      </c>
      <c r="P164" s="32" t="s">
        <v>1110</v>
      </c>
      <c r="Q164" s="31">
        <f>3340</f>
        <v>3340</v>
      </c>
      <c r="R164" s="32" t="s">
        <v>681</v>
      </c>
      <c r="S164" s="33">
        <f>3357.95</f>
        <v>3357.95</v>
      </c>
      <c r="T164" s="30">
        <f>294656</f>
        <v>294656</v>
      </c>
      <c r="U164" s="30" t="str">
        <f t="shared" si="0"/>
        <v>－</v>
      </c>
      <c r="V164" s="30">
        <f>992588720</f>
        <v>992588720</v>
      </c>
      <c r="W164" s="30" t="str">
        <f t="shared" si="1"/>
        <v>－</v>
      </c>
      <c r="X164" s="34">
        <f>22</f>
        <v>22</v>
      </c>
    </row>
    <row r="165" spans="1:24">
      <c r="A165" s="25" t="s">
        <v>1232</v>
      </c>
      <c r="B165" s="25" t="s">
        <v>453</v>
      </c>
      <c r="C165" s="25" t="s">
        <v>454</v>
      </c>
      <c r="D165" s="25" t="s">
        <v>455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2840</f>
        <v>2840</v>
      </c>
      <c r="L165" s="32" t="s">
        <v>1110</v>
      </c>
      <c r="M165" s="31">
        <f>3015</f>
        <v>3015</v>
      </c>
      <c r="N165" s="32" t="s">
        <v>683</v>
      </c>
      <c r="O165" s="31">
        <f>2761</f>
        <v>2761</v>
      </c>
      <c r="P165" s="32" t="s">
        <v>760</v>
      </c>
      <c r="Q165" s="31">
        <f>2949</f>
        <v>2949</v>
      </c>
      <c r="R165" s="32" t="s">
        <v>681</v>
      </c>
      <c r="S165" s="33">
        <f>2930.77</f>
        <v>2930.77</v>
      </c>
      <c r="T165" s="30">
        <f>46401</f>
        <v>46401</v>
      </c>
      <c r="U165" s="30" t="str">
        <f t="shared" si="0"/>
        <v>－</v>
      </c>
      <c r="V165" s="30">
        <f>136031091</f>
        <v>136031091</v>
      </c>
      <c r="W165" s="30" t="str">
        <f t="shared" si="1"/>
        <v>－</v>
      </c>
      <c r="X165" s="34">
        <f>22</f>
        <v>22</v>
      </c>
    </row>
    <row r="166" spans="1:24">
      <c r="A166" s="25" t="s">
        <v>1232</v>
      </c>
      <c r="B166" s="25" t="s">
        <v>456</v>
      </c>
      <c r="C166" s="25" t="s">
        <v>457</v>
      </c>
      <c r="D166" s="25" t="s">
        <v>458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3727</f>
        <v>3727</v>
      </c>
      <c r="L166" s="32" t="s">
        <v>1110</v>
      </c>
      <c r="M166" s="31">
        <f>3884</f>
        <v>3884</v>
      </c>
      <c r="N166" s="32" t="s">
        <v>1145</v>
      </c>
      <c r="O166" s="31">
        <f>3600</f>
        <v>3600</v>
      </c>
      <c r="P166" s="32" t="s">
        <v>1112</v>
      </c>
      <c r="Q166" s="31">
        <f>3705</f>
        <v>3705</v>
      </c>
      <c r="R166" s="32" t="s">
        <v>681</v>
      </c>
      <c r="S166" s="33">
        <f>3744.82</f>
        <v>3744.82</v>
      </c>
      <c r="T166" s="30">
        <f>29770</f>
        <v>29770</v>
      </c>
      <c r="U166" s="30" t="str">
        <f t="shared" si="0"/>
        <v>－</v>
      </c>
      <c r="V166" s="30">
        <f>111978970</f>
        <v>111978970</v>
      </c>
      <c r="W166" s="30" t="str">
        <f t="shared" si="1"/>
        <v>－</v>
      </c>
      <c r="X166" s="34">
        <f>22</f>
        <v>22</v>
      </c>
    </row>
    <row r="167" spans="1:24">
      <c r="A167" s="25" t="s">
        <v>1232</v>
      </c>
      <c r="B167" s="25" t="s">
        <v>459</v>
      </c>
      <c r="C167" s="25" t="s">
        <v>460</v>
      </c>
      <c r="D167" s="25" t="s">
        <v>979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2969.5</f>
        <v>2969.5</v>
      </c>
      <c r="L167" s="32" t="s">
        <v>1110</v>
      </c>
      <c r="M167" s="31">
        <f>3009</f>
        <v>3009</v>
      </c>
      <c r="N167" s="32" t="s">
        <v>1115</v>
      </c>
      <c r="O167" s="31">
        <f>2872</f>
        <v>2872</v>
      </c>
      <c r="P167" s="32" t="s">
        <v>679</v>
      </c>
      <c r="Q167" s="31">
        <f>2951.5</f>
        <v>2951.5</v>
      </c>
      <c r="R167" s="32" t="s">
        <v>681</v>
      </c>
      <c r="S167" s="33">
        <f>2944.82</f>
        <v>2944.82</v>
      </c>
      <c r="T167" s="30">
        <f>462880</f>
        <v>462880</v>
      </c>
      <c r="U167" s="30">
        <f>323210</f>
        <v>323210</v>
      </c>
      <c r="V167" s="30">
        <f>1366554511</f>
        <v>1366554511</v>
      </c>
      <c r="W167" s="30">
        <f>954404761</f>
        <v>954404761</v>
      </c>
      <c r="X167" s="34">
        <f>22</f>
        <v>22</v>
      </c>
    </row>
    <row r="168" spans="1:24">
      <c r="A168" s="25" t="s">
        <v>1232</v>
      </c>
      <c r="B168" s="25" t="s">
        <v>461</v>
      </c>
      <c r="C168" s="25" t="s">
        <v>980</v>
      </c>
      <c r="D168" s="25" t="s">
        <v>981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368.5</f>
        <v>368.5</v>
      </c>
      <c r="L168" s="32" t="s">
        <v>1110</v>
      </c>
      <c r="M168" s="31">
        <f>425.5</f>
        <v>425.5</v>
      </c>
      <c r="N168" s="32" t="s">
        <v>1113</v>
      </c>
      <c r="O168" s="31">
        <f>368.1</f>
        <v>368.1</v>
      </c>
      <c r="P168" s="32" t="s">
        <v>1110</v>
      </c>
      <c r="Q168" s="31">
        <f>399.5</f>
        <v>399.5</v>
      </c>
      <c r="R168" s="32" t="s">
        <v>681</v>
      </c>
      <c r="S168" s="33">
        <f>399.33</f>
        <v>399.33</v>
      </c>
      <c r="T168" s="30">
        <f>36373650</f>
        <v>36373650</v>
      </c>
      <c r="U168" s="30">
        <f>16381150</f>
        <v>16381150</v>
      </c>
      <c r="V168" s="30">
        <f>14531382723</f>
        <v>14531382723</v>
      </c>
      <c r="W168" s="30">
        <f>6553924760</f>
        <v>6553924760</v>
      </c>
      <c r="X168" s="34">
        <f>22</f>
        <v>22</v>
      </c>
    </row>
    <row r="169" spans="1:24">
      <c r="A169" s="25" t="s">
        <v>1232</v>
      </c>
      <c r="B169" s="25" t="s">
        <v>1132</v>
      </c>
      <c r="C169" s="25" t="s">
        <v>1131</v>
      </c>
      <c r="D169" s="25" t="s">
        <v>1130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</v>
      </c>
      <c r="K169" s="31">
        <f>1974</f>
        <v>1974</v>
      </c>
      <c r="L169" s="32" t="s">
        <v>1110</v>
      </c>
      <c r="M169" s="31">
        <f>2016</f>
        <v>2016</v>
      </c>
      <c r="N169" s="32" t="s">
        <v>1115</v>
      </c>
      <c r="O169" s="31">
        <f>1885</f>
        <v>1885</v>
      </c>
      <c r="P169" s="32" t="s">
        <v>1114</v>
      </c>
      <c r="Q169" s="31">
        <f>1946</f>
        <v>1946</v>
      </c>
      <c r="R169" s="32" t="s">
        <v>681</v>
      </c>
      <c r="S169" s="33">
        <f>1947.14</f>
        <v>1947.14</v>
      </c>
      <c r="T169" s="30">
        <f>35633</f>
        <v>35633</v>
      </c>
      <c r="U169" s="30" t="str">
        <f>"－"</f>
        <v>－</v>
      </c>
      <c r="V169" s="30">
        <f>69257161</f>
        <v>69257161</v>
      </c>
      <c r="W169" s="30" t="str">
        <f>"－"</f>
        <v>－</v>
      </c>
      <c r="X169" s="34">
        <f>22</f>
        <v>22</v>
      </c>
    </row>
    <row r="170" spans="1:24">
      <c r="A170" s="25" t="s">
        <v>1232</v>
      </c>
      <c r="B170" s="25" t="s">
        <v>1147</v>
      </c>
      <c r="C170" s="25" t="s">
        <v>1148</v>
      </c>
      <c r="D170" s="25" t="s">
        <v>1149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</v>
      </c>
      <c r="K170" s="31">
        <f>1089</f>
        <v>1089</v>
      </c>
      <c r="L170" s="32" t="s">
        <v>1110</v>
      </c>
      <c r="M170" s="31">
        <f>1193</f>
        <v>1193</v>
      </c>
      <c r="N170" s="32" t="s">
        <v>777</v>
      </c>
      <c r="O170" s="31">
        <f>1072</f>
        <v>1072</v>
      </c>
      <c r="P170" s="32" t="s">
        <v>1116</v>
      </c>
      <c r="Q170" s="31">
        <f>1157</f>
        <v>1157</v>
      </c>
      <c r="R170" s="32" t="s">
        <v>681</v>
      </c>
      <c r="S170" s="33">
        <f>1142.64</f>
        <v>1142.6400000000001</v>
      </c>
      <c r="T170" s="30">
        <f>2829476</f>
        <v>2829476</v>
      </c>
      <c r="U170" s="30">
        <f>1251</f>
        <v>1251</v>
      </c>
      <c r="V170" s="30">
        <f>3234010921</f>
        <v>3234010921</v>
      </c>
      <c r="W170" s="30">
        <f>1441832</f>
        <v>1441832</v>
      </c>
      <c r="X170" s="34">
        <f>22</f>
        <v>22</v>
      </c>
    </row>
    <row r="171" spans="1:24">
      <c r="A171" s="25" t="s">
        <v>1232</v>
      </c>
      <c r="B171" s="25" t="s">
        <v>1151</v>
      </c>
      <c r="C171" s="25" t="s">
        <v>1152</v>
      </c>
      <c r="D171" s="25" t="s">
        <v>1153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313.9</f>
        <v>313.89999999999998</v>
      </c>
      <c r="L171" s="32" t="s">
        <v>1110</v>
      </c>
      <c r="M171" s="31">
        <f>316</f>
        <v>316</v>
      </c>
      <c r="N171" s="32" t="s">
        <v>1116</v>
      </c>
      <c r="O171" s="31">
        <f>290.7</f>
        <v>290.7</v>
      </c>
      <c r="P171" s="32" t="s">
        <v>1114</v>
      </c>
      <c r="Q171" s="31">
        <f>294.5</f>
        <v>294.5</v>
      </c>
      <c r="R171" s="32" t="s">
        <v>681</v>
      </c>
      <c r="S171" s="33">
        <f>300.46</f>
        <v>300.45999999999998</v>
      </c>
      <c r="T171" s="30">
        <f>10723720</f>
        <v>10723720</v>
      </c>
      <c r="U171" s="30">
        <f>6500000</f>
        <v>6500000</v>
      </c>
      <c r="V171" s="30">
        <f>3277777476</f>
        <v>3277777476</v>
      </c>
      <c r="W171" s="30">
        <f>2007437910</f>
        <v>2007437910</v>
      </c>
      <c r="X171" s="34">
        <f>22</f>
        <v>22</v>
      </c>
    </row>
    <row r="172" spans="1:24">
      <c r="A172" s="25" t="s">
        <v>1232</v>
      </c>
      <c r="B172" s="25" t="s">
        <v>1154</v>
      </c>
      <c r="C172" s="25" t="s">
        <v>1155</v>
      </c>
      <c r="D172" s="25" t="s">
        <v>1156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303.7</f>
        <v>303.7</v>
      </c>
      <c r="L172" s="32" t="s">
        <v>1110</v>
      </c>
      <c r="M172" s="31">
        <f>311.1</f>
        <v>311.10000000000002</v>
      </c>
      <c r="N172" s="32" t="s">
        <v>1145</v>
      </c>
      <c r="O172" s="31">
        <f>300</f>
        <v>300</v>
      </c>
      <c r="P172" s="32" t="s">
        <v>874</v>
      </c>
      <c r="Q172" s="31">
        <f>306.9</f>
        <v>306.89999999999998</v>
      </c>
      <c r="R172" s="32" t="s">
        <v>681</v>
      </c>
      <c r="S172" s="33">
        <f>305.55</f>
        <v>305.55</v>
      </c>
      <c r="T172" s="30">
        <f>957640</f>
        <v>957640</v>
      </c>
      <c r="U172" s="30" t="str">
        <f>"－"</f>
        <v>－</v>
      </c>
      <c r="V172" s="30">
        <f>291480172</f>
        <v>291480172</v>
      </c>
      <c r="W172" s="30" t="str">
        <f>"－"</f>
        <v>－</v>
      </c>
      <c r="X172" s="34">
        <f>22</f>
        <v>22</v>
      </c>
    </row>
    <row r="173" spans="1:24">
      <c r="A173" s="25" t="s">
        <v>1232</v>
      </c>
      <c r="B173" s="25" t="s">
        <v>1157</v>
      </c>
      <c r="C173" s="25" t="s">
        <v>1158</v>
      </c>
      <c r="D173" s="25" t="s">
        <v>1159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500</f>
        <v>500</v>
      </c>
      <c r="L173" s="32" t="s">
        <v>1110</v>
      </c>
      <c r="M173" s="31">
        <f>510.4</f>
        <v>510.4</v>
      </c>
      <c r="N173" s="32" t="s">
        <v>875</v>
      </c>
      <c r="O173" s="31">
        <f>478.6</f>
        <v>478.6</v>
      </c>
      <c r="P173" s="32" t="s">
        <v>1110</v>
      </c>
      <c r="Q173" s="31">
        <f>506</f>
        <v>506</v>
      </c>
      <c r="R173" s="32" t="s">
        <v>681</v>
      </c>
      <c r="S173" s="33">
        <f>496.46</f>
        <v>496.46</v>
      </c>
      <c r="T173" s="30">
        <f>9610</f>
        <v>9610</v>
      </c>
      <c r="U173" s="30" t="str">
        <f>"－"</f>
        <v>－</v>
      </c>
      <c r="V173" s="30">
        <f>4822801</f>
        <v>4822801</v>
      </c>
      <c r="W173" s="30" t="str">
        <f>"－"</f>
        <v>－</v>
      </c>
      <c r="X173" s="34">
        <f>20</f>
        <v>20</v>
      </c>
    </row>
    <row r="174" spans="1:24">
      <c r="A174" s="25" t="s">
        <v>1232</v>
      </c>
      <c r="B174" s="25" t="s">
        <v>1161</v>
      </c>
      <c r="C174" s="25" t="s">
        <v>1162</v>
      </c>
      <c r="D174" s="25" t="s">
        <v>1163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526.3</f>
        <v>526.29999999999995</v>
      </c>
      <c r="L174" s="32" t="s">
        <v>1110</v>
      </c>
      <c r="M174" s="31">
        <f>541.2</f>
        <v>541.20000000000005</v>
      </c>
      <c r="N174" s="32" t="s">
        <v>1145</v>
      </c>
      <c r="O174" s="31">
        <f>506.3</f>
        <v>506.3</v>
      </c>
      <c r="P174" s="32" t="s">
        <v>1145</v>
      </c>
      <c r="Q174" s="31">
        <f>525.5</f>
        <v>525.5</v>
      </c>
      <c r="R174" s="32" t="s">
        <v>681</v>
      </c>
      <c r="S174" s="33">
        <f>521.49</f>
        <v>521.49</v>
      </c>
      <c r="T174" s="30">
        <f>21160</f>
        <v>21160</v>
      </c>
      <c r="U174" s="30" t="str">
        <f>"－"</f>
        <v>－</v>
      </c>
      <c r="V174" s="30">
        <f>10976527</f>
        <v>10976527</v>
      </c>
      <c r="W174" s="30" t="str">
        <f>"－"</f>
        <v>－</v>
      </c>
      <c r="X174" s="34">
        <f>22</f>
        <v>22</v>
      </c>
    </row>
    <row r="175" spans="1:24">
      <c r="A175" s="25" t="s">
        <v>1232</v>
      </c>
      <c r="B175" s="25" t="s">
        <v>1164</v>
      </c>
      <c r="C175" s="25" t="s">
        <v>1165</v>
      </c>
      <c r="D175" s="25" t="s">
        <v>1166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601.1</f>
        <v>601.1</v>
      </c>
      <c r="L175" s="32" t="s">
        <v>1110</v>
      </c>
      <c r="M175" s="31">
        <f>601.1</f>
        <v>601.1</v>
      </c>
      <c r="N175" s="32" t="s">
        <v>1110</v>
      </c>
      <c r="O175" s="31">
        <f>507</f>
        <v>507</v>
      </c>
      <c r="P175" s="32" t="s">
        <v>1114</v>
      </c>
      <c r="Q175" s="31">
        <f>511</f>
        <v>511</v>
      </c>
      <c r="R175" s="32" t="s">
        <v>681</v>
      </c>
      <c r="S175" s="33">
        <f>529</f>
        <v>529</v>
      </c>
      <c r="T175" s="30">
        <f>1594950</f>
        <v>1594950</v>
      </c>
      <c r="U175" s="30">
        <f>1550000</f>
        <v>1550000</v>
      </c>
      <c r="V175" s="30">
        <f>834322190</f>
        <v>834322190</v>
      </c>
      <c r="W175" s="30">
        <f>810435090</f>
        <v>810435090</v>
      </c>
      <c r="X175" s="34">
        <f>22</f>
        <v>22</v>
      </c>
    </row>
    <row r="176" spans="1:24">
      <c r="A176" s="25" t="s">
        <v>1232</v>
      </c>
      <c r="B176" s="25" t="s">
        <v>1168</v>
      </c>
      <c r="C176" s="25" t="s">
        <v>1169</v>
      </c>
      <c r="D176" s="25" t="s">
        <v>1170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1002</f>
        <v>1002</v>
      </c>
      <c r="L176" s="32" t="s">
        <v>1110</v>
      </c>
      <c r="M176" s="31">
        <f>1032</f>
        <v>1032</v>
      </c>
      <c r="N176" s="32" t="s">
        <v>1114</v>
      </c>
      <c r="O176" s="31">
        <f>990</f>
        <v>990</v>
      </c>
      <c r="P176" s="32" t="s">
        <v>1116</v>
      </c>
      <c r="Q176" s="31">
        <f>1006</f>
        <v>1006</v>
      </c>
      <c r="R176" s="32" t="s">
        <v>681</v>
      </c>
      <c r="S176" s="33">
        <f>1009.05</f>
        <v>1009.05</v>
      </c>
      <c r="T176" s="30">
        <f>391311</f>
        <v>391311</v>
      </c>
      <c r="U176" s="30">
        <f>98605</f>
        <v>98605</v>
      </c>
      <c r="V176" s="30">
        <f>393947141</f>
        <v>393947141</v>
      </c>
      <c r="W176" s="30">
        <f>98900800</f>
        <v>98900800</v>
      </c>
      <c r="X176" s="34">
        <f>22</f>
        <v>22</v>
      </c>
    </row>
    <row r="177" spans="1:24">
      <c r="A177" s="25" t="s">
        <v>1232</v>
      </c>
      <c r="B177" s="25" t="s">
        <v>1173</v>
      </c>
      <c r="C177" s="25" t="s">
        <v>1174</v>
      </c>
      <c r="D177" s="25" t="s">
        <v>1175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1618</f>
        <v>1618</v>
      </c>
      <c r="L177" s="32" t="s">
        <v>1110</v>
      </c>
      <c r="M177" s="31">
        <f>1717</f>
        <v>1717</v>
      </c>
      <c r="N177" s="32" t="s">
        <v>875</v>
      </c>
      <c r="O177" s="31">
        <f>1560</f>
        <v>1560</v>
      </c>
      <c r="P177" s="32" t="s">
        <v>683</v>
      </c>
      <c r="Q177" s="31">
        <f>1708</f>
        <v>1708</v>
      </c>
      <c r="R177" s="32" t="s">
        <v>681</v>
      </c>
      <c r="S177" s="33">
        <f>1636.5</f>
        <v>1636.5</v>
      </c>
      <c r="T177" s="30">
        <f>3475325</f>
        <v>3475325</v>
      </c>
      <c r="U177" s="30">
        <f>571885</f>
        <v>571885</v>
      </c>
      <c r="V177" s="30">
        <f>5706203277</f>
        <v>5706203277</v>
      </c>
      <c r="W177" s="30">
        <f>943875104</f>
        <v>943875104</v>
      </c>
      <c r="X177" s="34">
        <f>22</f>
        <v>22</v>
      </c>
    </row>
    <row r="178" spans="1:24">
      <c r="A178" s="25" t="s">
        <v>1232</v>
      </c>
      <c r="B178" s="25" t="s">
        <v>1054</v>
      </c>
      <c r="C178" s="25" t="s">
        <v>1055</v>
      </c>
      <c r="D178" s="25" t="s">
        <v>1056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574.8</f>
        <v>574.79999999999995</v>
      </c>
      <c r="L178" s="32" t="s">
        <v>1110</v>
      </c>
      <c r="M178" s="31">
        <f>582.7</f>
        <v>582.70000000000005</v>
      </c>
      <c r="N178" s="32" t="s">
        <v>1115</v>
      </c>
      <c r="O178" s="31">
        <f>550.5</f>
        <v>550.5</v>
      </c>
      <c r="P178" s="32" t="s">
        <v>679</v>
      </c>
      <c r="Q178" s="31">
        <f>568.3</f>
        <v>568.29999999999995</v>
      </c>
      <c r="R178" s="32" t="s">
        <v>681</v>
      </c>
      <c r="S178" s="33">
        <f>567.13</f>
        <v>567.13</v>
      </c>
      <c r="T178" s="30">
        <f>1560520</f>
        <v>1560520</v>
      </c>
      <c r="U178" s="30">
        <f>35000</f>
        <v>35000</v>
      </c>
      <c r="V178" s="30">
        <f>885287393</f>
        <v>885287393</v>
      </c>
      <c r="W178" s="30">
        <f>19932500</f>
        <v>19932500</v>
      </c>
      <c r="X178" s="34">
        <f>22</f>
        <v>22</v>
      </c>
    </row>
    <row r="179" spans="1:24">
      <c r="A179" s="25" t="s">
        <v>1232</v>
      </c>
      <c r="B179" s="25" t="s">
        <v>1083</v>
      </c>
      <c r="C179" s="25" t="s">
        <v>1084</v>
      </c>
      <c r="D179" s="25" t="s">
        <v>1085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200.2</f>
        <v>200.2</v>
      </c>
      <c r="L179" s="32" t="s">
        <v>1110</v>
      </c>
      <c r="M179" s="31">
        <f>218</f>
        <v>218</v>
      </c>
      <c r="N179" s="32" t="s">
        <v>1114</v>
      </c>
      <c r="O179" s="31">
        <f>200.2</f>
        <v>200.2</v>
      </c>
      <c r="P179" s="32" t="s">
        <v>1110</v>
      </c>
      <c r="Q179" s="31">
        <f>216.9</f>
        <v>216.9</v>
      </c>
      <c r="R179" s="32" t="s">
        <v>681</v>
      </c>
      <c r="S179" s="33">
        <f>211.61</f>
        <v>211.61</v>
      </c>
      <c r="T179" s="30">
        <f>5872250</f>
        <v>5872250</v>
      </c>
      <c r="U179" s="30">
        <f>3500000</f>
        <v>3500000</v>
      </c>
      <c r="V179" s="30">
        <f>1244181485</f>
        <v>1244181485</v>
      </c>
      <c r="W179" s="30">
        <f>747408400</f>
        <v>747408400</v>
      </c>
      <c r="X179" s="34">
        <f>22</f>
        <v>22</v>
      </c>
    </row>
    <row r="180" spans="1:24">
      <c r="A180" s="25" t="s">
        <v>1232</v>
      </c>
      <c r="B180" s="25" t="s">
        <v>1087</v>
      </c>
      <c r="C180" s="25" t="s">
        <v>1088</v>
      </c>
      <c r="D180" s="25" t="s">
        <v>1089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226.8</f>
        <v>226.8</v>
      </c>
      <c r="L180" s="32" t="s">
        <v>1110</v>
      </c>
      <c r="M180" s="31">
        <f>244.6</f>
        <v>244.6</v>
      </c>
      <c r="N180" s="32" t="s">
        <v>683</v>
      </c>
      <c r="O180" s="31">
        <f>226.8</f>
        <v>226.8</v>
      </c>
      <c r="P180" s="32" t="s">
        <v>1110</v>
      </c>
      <c r="Q180" s="31">
        <f>241.2</f>
        <v>241.2</v>
      </c>
      <c r="R180" s="32" t="s">
        <v>681</v>
      </c>
      <c r="S180" s="33">
        <f>237.78</f>
        <v>237.78</v>
      </c>
      <c r="T180" s="30">
        <f>4799730</f>
        <v>4799730</v>
      </c>
      <c r="U180" s="30">
        <f>900000</f>
        <v>900000</v>
      </c>
      <c r="V180" s="30">
        <f>1154489516</f>
        <v>1154489516</v>
      </c>
      <c r="W180" s="30">
        <f>218250000</f>
        <v>218250000</v>
      </c>
      <c r="X180" s="34">
        <f>22</f>
        <v>22</v>
      </c>
    </row>
    <row r="181" spans="1:24">
      <c r="A181" s="25" t="s">
        <v>1232</v>
      </c>
      <c r="B181" s="25" t="s">
        <v>1090</v>
      </c>
      <c r="C181" s="25" t="s">
        <v>1091</v>
      </c>
      <c r="D181" s="25" t="s">
        <v>1092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230.5</f>
        <v>230.5</v>
      </c>
      <c r="L181" s="32" t="s">
        <v>1110</v>
      </c>
      <c r="M181" s="31">
        <f>247.3</f>
        <v>247.3</v>
      </c>
      <c r="N181" s="32" t="s">
        <v>1114</v>
      </c>
      <c r="O181" s="31">
        <f>229.2</f>
        <v>229.2</v>
      </c>
      <c r="P181" s="32" t="s">
        <v>1116</v>
      </c>
      <c r="Q181" s="31">
        <f>244.3</f>
        <v>244.3</v>
      </c>
      <c r="R181" s="32" t="s">
        <v>681</v>
      </c>
      <c r="S181" s="33">
        <f>240.95</f>
        <v>240.95</v>
      </c>
      <c r="T181" s="30">
        <f>2955340</f>
        <v>2955340</v>
      </c>
      <c r="U181" s="30">
        <f>200</f>
        <v>200</v>
      </c>
      <c r="V181" s="30">
        <f>715579118</f>
        <v>715579118</v>
      </c>
      <c r="W181" s="30">
        <f>48080</f>
        <v>48080</v>
      </c>
      <c r="X181" s="34">
        <f>22</f>
        <v>22</v>
      </c>
    </row>
    <row r="182" spans="1:24">
      <c r="A182" s="25" t="s">
        <v>1232</v>
      </c>
      <c r="B182" s="25" t="s">
        <v>1093</v>
      </c>
      <c r="C182" s="25" t="s">
        <v>1094</v>
      </c>
      <c r="D182" s="25" t="s">
        <v>1095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2026</f>
        <v>2026</v>
      </c>
      <c r="L182" s="32" t="s">
        <v>1110</v>
      </c>
      <c r="M182" s="31">
        <f>2094</f>
        <v>2094</v>
      </c>
      <c r="N182" s="32" t="s">
        <v>1114</v>
      </c>
      <c r="O182" s="31">
        <f>2026</f>
        <v>2026</v>
      </c>
      <c r="P182" s="32" t="s">
        <v>1110</v>
      </c>
      <c r="Q182" s="31">
        <f>2080</f>
        <v>2080</v>
      </c>
      <c r="R182" s="32" t="s">
        <v>681</v>
      </c>
      <c r="S182" s="33">
        <f>2065.32</f>
        <v>2065.3200000000002</v>
      </c>
      <c r="T182" s="30">
        <f>148613</f>
        <v>148613</v>
      </c>
      <c r="U182" s="30">
        <f>2</f>
        <v>2</v>
      </c>
      <c r="V182" s="30">
        <f>307179750</f>
        <v>307179750</v>
      </c>
      <c r="W182" s="30">
        <f>4160</f>
        <v>4160</v>
      </c>
      <c r="X182" s="34">
        <f>22</f>
        <v>22</v>
      </c>
    </row>
    <row r="183" spans="1:24">
      <c r="A183" s="25" t="s">
        <v>1232</v>
      </c>
      <c r="B183" s="25" t="s">
        <v>1096</v>
      </c>
      <c r="C183" s="25" t="s">
        <v>1097</v>
      </c>
      <c r="D183" s="25" t="s">
        <v>1098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1998</f>
        <v>1998</v>
      </c>
      <c r="L183" s="32" t="s">
        <v>1110</v>
      </c>
      <c r="M183" s="31">
        <f>2006</f>
        <v>2006</v>
      </c>
      <c r="N183" s="32" t="s">
        <v>1115</v>
      </c>
      <c r="O183" s="31">
        <f>1916</f>
        <v>1916</v>
      </c>
      <c r="P183" s="32" t="s">
        <v>681</v>
      </c>
      <c r="Q183" s="31">
        <f>1919</f>
        <v>1919</v>
      </c>
      <c r="R183" s="32" t="s">
        <v>681</v>
      </c>
      <c r="S183" s="33">
        <f>1951.09</f>
        <v>1951.09</v>
      </c>
      <c r="T183" s="30">
        <f>1097584</f>
        <v>1097584</v>
      </c>
      <c r="U183" s="30">
        <f>1000001</f>
        <v>1000001</v>
      </c>
      <c r="V183" s="30">
        <f>2172049065</f>
        <v>2172049065</v>
      </c>
      <c r="W183" s="30">
        <f>1979626913</f>
        <v>1979626913</v>
      </c>
      <c r="X183" s="34">
        <f>22</f>
        <v>22</v>
      </c>
    </row>
    <row r="184" spans="1:24">
      <c r="A184" s="25" t="s">
        <v>1232</v>
      </c>
      <c r="B184" s="25" t="s">
        <v>1099</v>
      </c>
      <c r="C184" s="25" t="s">
        <v>1100</v>
      </c>
      <c r="D184" s="25" t="s">
        <v>1101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1084</f>
        <v>1084</v>
      </c>
      <c r="L184" s="32" t="s">
        <v>1110</v>
      </c>
      <c r="M184" s="31">
        <f>1109</f>
        <v>1109</v>
      </c>
      <c r="N184" s="32" t="s">
        <v>1115</v>
      </c>
      <c r="O184" s="31">
        <f>1038</f>
        <v>1038</v>
      </c>
      <c r="P184" s="32" t="s">
        <v>683</v>
      </c>
      <c r="Q184" s="31">
        <f>1072</f>
        <v>1072</v>
      </c>
      <c r="R184" s="32" t="s">
        <v>681</v>
      </c>
      <c r="S184" s="33">
        <f>1072</f>
        <v>1072</v>
      </c>
      <c r="T184" s="30">
        <f>8302026</f>
        <v>8302026</v>
      </c>
      <c r="U184" s="30">
        <f>2712300</f>
        <v>2712300</v>
      </c>
      <c r="V184" s="30">
        <f>8805649276</f>
        <v>8805649276</v>
      </c>
      <c r="W184" s="30">
        <f>2862956548</f>
        <v>2862956548</v>
      </c>
      <c r="X184" s="34">
        <f>22</f>
        <v>22</v>
      </c>
    </row>
    <row r="185" spans="1:24">
      <c r="A185" s="25" t="s">
        <v>1232</v>
      </c>
      <c r="B185" s="25" t="s">
        <v>1103</v>
      </c>
      <c r="C185" s="25" t="s">
        <v>1104</v>
      </c>
      <c r="D185" s="25" t="s">
        <v>1105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1140</f>
        <v>1140</v>
      </c>
      <c r="L185" s="32" t="s">
        <v>1110</v>
      </c>
      <c r="M185" s="31">
        <f>1220</f>
        <v>1220</v>
      </c>
      <c r="N185" s="32" t="s">
        <v>1114</v>
      </c>
      <c r="O185" s="31">
        <f>1135</f>
        <v>1135</v>
      </c>
      <c r="P185" s="32" t="s">
        <v>1116</v>
      </c>
      <c r="Q185" s="31">
        <f>1201</f>
        <v>1201</v>
      </c>
      <c r="R185" s="32" t="s">
        <v>681</v>
      </c>
      <c r="S185" s="33">
        <f>1173.68</f>
        <v>1173.68</v>
      </c>
      <c r="T185" s="30">
        <f>121948</f>
        <v>121948</v>
      </c>
      <c r="U185" s="30" t="str">
        <f>"－"</f>
        <v>－</v>
      </c>
      <c r="V185" s="30">
        <f>145341608</f>
        <v>145341608</v>
      </c>
      <c r="W185" s="30" t="str">
        <f>"－"</f>
        <v>－</v>
      </c>
      <c r="X185" s="34">
        <f>22</f>
        <v>22</v>
      </c>
    </row>
    <row r="186" spans="1:24">
      <c r="A186" s="25" t="s">
        <v>1232</v>
      </c>
      <c r="B186" s="25" t="s">
        <v>1106</v>
      </c>
      <c r="C186" s="25" t="s">
        <v>1107</v>
      </c>
      <c r="D186" s="25" t="s">
        <v>1108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1029</f>
        <v>1029</v>
      </c>
      <c r="L186" s="32" t="s">
        <v>1110</v>
      </c>
      <c r="M186" s="31">
        <f>1098</f>
        <v>1098</v>
      </c>
      <c r="N186" s="32" t="s">
        <v>1114</v>
      </c>
      <c r="O186" s="31">
        <f>1021</f>
        <v>1021</v>
      </c>
      <c r="P186" s="32" t="s">
        <v>1110</v>
      </c>
      <c r="Q186" s="31">
        <f>1076</f>
        <v>1076</v>
      </c>
      <c r="R186" s="32" t="s">
        <v>681</v>
      </c>
      <c r="S186" s="33">
        <f>1062.77</f>
        <v>1062.77</v>
      </c>
      <c r="T186" s="30">
        <f>60602</f>
        <v>60602</v>
      </c>
      <c r="U186" s="30">
        <f>22</f>
        <v>22</v>
      </c>
      <c r="V186" s="30">
        <f>64433964</f>
        <v>64433964</v>
      </c>
      <c r="W186" s="30">
        <f>23629</f>
        <v>23629</v>
      </c>
      <c r="X186" s="34">
        <f>22</f>
        <v>22</v>
      </c>
    </row>
    <row r="187" spans="1:24">
      <c r="A187" s="25" t="s">
        <v>1232</v>
      </c>
      <c r="B187" s="25" t="s">
        <v>1177</v>
      </c>
      <c r="C187" s="25" t="s">
        <v>1178</v>
      </c>
      <c r="D187" s="25" t="s">
        <v>1179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10</v>
      </c>
      <c r="K187" s="31">
        <f>200.8</f>
        <v>200.8</v>
      </c>
      <c r="L187" s="32" t="s">
        <v>1110</v>
      </c>
      <c r="M187" s="31">
        <f>205.9</f>
        <v>205.9</v>
      </c>
      <c r="N187" s="32" t="s">
        <v>1145</v>
      </c>
      <c r="O187" s="31">
        <f>198.7</f>
        <v>198.7</v>
      </c>
      <c r="P187" s="32" t="s">
        <v>679</v>
      </c>
      <c r="Q187" s="31">
        <f>201.1</f>
        <v>201.1</v>
      </c>
      <c r="R187" s="32" t="s">
        <v>681</v>
      </c>
      <c r="S187" s="33">
        <f>202.07</f>
        <v>202.07</v>
      </c>
      <c r="T187" s="30">
        <f>5135510</f>
        <v>5135510</v>
      </c>
      <c r="U187" s="30">
        <f>261800</f>
        <v>261800</v>
      </c>
      <c r="V187" s="30">
        <f>1039342861</f>
        <v>1039342861</v>
      </c>
      <c r="W187" s="30">
        <f>53012203</f>
        <v>53012203</v>
      </c>
      <c r="X187" s="34">
        <f>22</f>
        <v>22</v>
      </c>
    </row>
    <row r="188" spans="1:24">
      <c r="A188" s="25" t="s">
        <v>1232</v>
      </c>
      <c r="B188" s="25" t="s">
        <v>462</v>
      </c>
      <c r="C188" s="25" t="s">
        <v>463</v>
      </c>
      <c r="D188" s="25" t="s">
        <v>464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5850</f>
        <v>5850</v>
      </c>
      <c r="L188" s="32" t="s">
        <v>1110</v>
      </c>
      <c r="M188" s="31">
        <f>7720</f>
        <v>7720</v>
      </c>
      <c r="N188" s="32" t="s">
        <v>1145</v>
      </c>
      <c r="O188" s="31">
        <f>5420</f>
        <v>5420</v>
      </c>
      <c r="P188" s="32" t="s">
        <v>678</v>
      </c>
      <c r="Q188" s="31">
        <f>5849</f>
        <v>5849</v>
      </c>
      <c r="R188" s="32" t="s">
        <v>681</v>
      </c>
      <c r="S188" s="33">
        <f>6110.91</f>
        <v>6110.91</v>
      </c>
      <c r="T188" s="30">
        <f>344668</f>
        <v>344668</v>
      </c>
      <c r="U188" s="30" t="str">
        <f>"－"</f>
        <v>－</v>
      </c>
      <c r="V188" s="30">
        <f>2236166921</f>
        <v>2236166921</v>
      </c>
      <c r="W188" s="30" t="str">
        <f>"－"</f>
        <v>－</v>
      </c>
      <c r="X188" s="34">
        <f>22</f>
        <v>22</v>
      </c>
    </row>
    <row r="189" spans="1:24">
      <c r="A189" s="25" t="s">
        <v>1232</v>
      </c>
      <c r="B189" s="25" t="s">
        <v>466</v>
      </c>
      <c r="C189" s="25" t="s">
        <v>467</v>
      </c>
      <c r="D189" s="25" t="s">
        <v>468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7695</f>
        <v>7695</v>
      </c>
      <c r="L189" s="32" t="s">
        <v>1110</v>
      </c>
      <c r="M189" s="31">
        <f>7999</f>
        <v>7999</v>
      </c>
      <c r="N189" s="32" t="s">
        <v>760</v>
      </c>
      <c r="O189" s="31">
        <f>6840</f>
        <v>6840</v>
      </c>
      <c r="P189" s="32" t="s">
        <v>1116</v>
      </c>
      <c r="Q189" s="31">
        <f>7883</f>
        <v>7883</v>
      </c>
      <c r="R189" s="32" t="s">
        <v>681</v>
      </c>
      <c r="S189" s="33">
        <f>7544.05</f>
        <v>7544.05</v>
      </c>
      <c r="T189" s="30">
        <f>85705</f>
        <v>85705</v>
      </c>
      <c r="U189" s="30" t="str">
        <f>"－"</f>
        <v>－</v>
      </c>
      <c r="V189" s="30">
        <f>629380138</f>
        <v>629380138</v>
      </c>
      <c r="W189" s="30" t="str">
        <f>"－"</f>
        <v>－</v>
      </c>
      <c r="X189" s="34">
        <f>22</f>
        <v>22</v>
      </c>
    </row>
    <row r="190" spans="1:24">
      <c r="A190" s="25" t="s">
        <v>1232</v>
      </c>
      <c r="B190" s="25" t="s">
        <v>469</v>
      </c>
      <c r="C190" s="25" t="s">
        <v>470</v>
      </c>
      <c r="D190" s="25" t="s">
        <v>471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11540</f>
        <v>11540</v>
      </c>
      <c r="L190" s="32" t="s">
        <v>1110</v>
      </c>
      <c r="M190" s="31">
        <f>12000</f>
        <v>12000</v>
      </c>
      <c r="N190" s="32" t="s">
        <v>875</v>
      </c>
      <c r="O190" s="31">
        <f>11205</f>
        <v>11205</v>
      </c>
      <c r="P190" s="32" t="s">
        <v>1116</v>
      </c>
      <c r="Q190" s="31">
        <f>11530</f>
        <v>11530</v>
      </c>
      <c r="R190" s="32" t="s">
        <v>777</v>
      </c>
      <c r="S190" s="33">
        <f>11573.16</f>
        <v>11573.16</v>
      </c>
      <c r="T190" s="30">
        <f>1364</f>
        <v>1364</v>
      </c>
      <c r="U190" s="30" t="str">
        <f>"－"</f>
        <v>－</v>
      </c>
      <c r="V190" s="30">
        <f>15886870</f>
        <v>15886870</v>
      </c>
      <c r="W190" s="30" t="str">
        <f>"－"</f>
        <v>－</v>
      </c>
      <c r="X190" s="34">
        <f>19</f>
        <v>19</v>
      </c>
    </row>
    <row r="191" spans="1:24">
      <c r="A191" s="25" t="s">
        <v>1232</v>
      </c>
      <c r="B191" s="25" t="s">
        <v>472</v>
      </c>
      <c r="C191" s="25" t="s">
        <v>473</v>
      </c>
      <c r="D191" s="25" t="s">
        <v>474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7708</f>
        <v>7708</v>
      </c>
      <c r="L191" s="32" t="s">
        <v>1110</v>
      </c>
      <c r="M191" s="31">
        <f>7990</f>
        <v>7990</v>
      </c>
      <c r="N191" s="32" t="s">
        <v>681</v>
      </c>
      <c r="O191" s="31">
        <f>7650</f>
        <v>7650</v>
      </c>
      <c r="P191" s="32" t="s">
        <v>875</v>
      </c>
      <c r="Q191" s="31">
        <f>7960</f>
        <v>7960</v>
      </c>
      <c r="R191" s="32" t="s">
        <v>681</v>
      </c>
      <c r="S191" s="33">
        <f>7818.14</f>
        <v>7818.14</v>
      </c>
      <c r="T191" s="30">
        <f>2936</f>
        <v>2936</v>
      </c>
      <c r="U191" s="30" t="str">
        <f>"－"</f>
        <v>－</v>
      </c>
      <c r="V191" s="30">
        <f>22963649</f>
        <v>22963649</v>
      </c>
      <c r="W191" s="30" t="str">
        <f>"－"</f>
        <v>－</v>
      </c>
      <c r="X191" s="34">
        <f>22</f>
        <v>22</v>
      </c>
    </row>
    <row r="192" spans="1:24">
      <c r="A192" s="25" t="s">
        <v>1232</v>
      </c>
      <c r="B192" s="25" t="s">
        <v>475</v>
      </c>
      <c r="C192" s="25" t="s">
        <v>476</v>
      </c>
      <c r="D192" s="25" t="s">
        <v>477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60190</f>
        <v>60190</v>
      </c>
      <c r="L192" s="32" t="s">
        <v>1110</v>
      </c>
      <c r="M192" s="31">
        <f>77240</f>
        <v>77240</v>
      </c>
      <c r="N192" s="32" t="s">
        <v>681</v>
      </c>
      <c r="O192" s="31">
        <f>60090</f>
        <v>60090</v>
      </c>
      <c r="P192" s="32" t="s">
        <v>1110</v>
      </c>
      <c r="Q192" s="31">
        <f>76340</f>
        <v>76340</v>
      </c>
      <c r="R192" s="32" t="s">
        <v>681</v>
      </c>
      <c r="S192" s="33">
        <f>68031.82</f>
        <v>68031.820000000007</v>
      </c>
      <c r="T192" s="30">
        <f>121720</f>
        <v>121720</v>
      </c>
      <c r="U192" s="30">
        <f>127</f>
        <v>127</v>
      </c>
      <c r="V192" s="30">
        <f>8549861350</f>
        <v>8549861350</v>
      </c>
      <c r="W192" s="30">
        <f>8657700</f>
        <v>8657700</v>
      </c>
      <c r="X192" s="34">
        <f>22</f>
        <v>22</v>
      </c>
    </row>
    <row r="193" spans="1:24">
      <c r="A193" s="25" t="s">
        <v>1232</v>
      </c>
      <c r="B193" s="25" t="s">
        <v>478</v>
      </c>
      <c r="C193" s="25" t="s">
        <v>479</v>
      </c>
      <c r="D193" s="25" t="s">
        <v>480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2672</f>
        <v>2672</v>
      </c>
      <c r="L193" s="32" t="s">
        <v>1110</v>
      </c>
      <c r="M193" s="31">
        <f>2672</f>
        <v>2672</v>
      </c>
      <c r="N193" s="32" t="s">
        <v>1110</v>
      </c>
      <c r="O193" s="31">
        <f>2347</f>
        <v>2347</v>
      </c>
      <c r="P193" s="32" t="s">
        <v>681</v>
      </c>
      <c r="Q193" s="31">
        <f>2382</f>
        <v>2382</v>
      </c>
      <c r="R193" s="32" t="s">
        <v>681</v>
      </c>
      <c r="S193" s="33">
        <f>2523.36</f>
        <v>2523.36</v>
      </c>
      <c r="T193" s="30">
        <f>13055</f>
        <v>13055</v>
      </c>
      <c r="U193" s="30" t="str">
        <f>"－"</f>
        <v>－</v>
      </c>
      <c r="V193" s="30">
        <f>32584906</f>
        <v>32584906</v>
      </c>
      <c r="W193" s="30" t="str">
        <f>"－"</f>
        <v>－</v>
      </c>
      <c r="X193" s="34">
        <f>22</f>
        <v>22</v>
      </c>
    </row>
    <row r="194" spans="1:24">
      <c r="A194" s="25" t="s">
        <v>1232</v>
      </c>
      <c r="B194" s="25" t="s">
        <v>481</v>
      </c>
      <c r="C194" s="25" t="s">
        <v>482</v>
      </c>
      <c r="D194" s="25" t="s">
        <v>483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1521</f>
        <v>1521</v>
      </c>
      <c r="L194" s="32" t="s">
        <v>1110</v>
      </c>
      <c r="M194" s="31">
        <f>1962</f>
        <v>1962</v>
      </c>
      <c r="N194" s="32" t="s">
        <v>1113</v>
      </c>
      <c r="O194" s="31">
        <f>1514</f>
        <v>1514</v>
      </c>
      <c r="P194" s="32" t="s">
        <v>1110</v>
      </c>
      <c r="Q194" s="31">
        <f>1737</f>
        <v>1737</v>
      </c>
      <c r="R194" s="32" t="s">
        <v>681</v>
      </c>
      <c r="S194" s="33">
        <f>1752.32</f>
        <v>1752.32</v>
      </c>
      <c r="T194" s="30">
        <f>12266020</f>
        <v>12266020</v>
      </c>
      <c r="U194" s="30">
        <f>749</f>
        <v>749</v>
      </c>
      <c r="V194" s="30">
        <f>21782709663</f>
        <v>21782709663</v>
      </c>
      <c r="W194" s="30">
        <f>1295199</f>
        <v>1295199</v>
      </c>
      <c r="X194" s="34">
        <f>22</f>
        <v>22</v>
      </c>
    </row>
    <row r="195" spans="1:24">
      <c r="A195" s="25" t="s">
        <v>1232</v>
      </c>
      <c r="B195" s="25" t="s">
        <v>484</v>
      </c>
      <c r="C195" s="25" t="s">
        <v>485</v>
      </c>
      <c r="D195" s="25" t="s">
        <v>486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1067</f>
        <v>1067</v>
      </c>
      <c r="L195" s="32" t="s">
        <v>1110</v>
      </c>
      <c r="M195" s="31">
        <f>1070</f>
        <v>1070</v>
      </c>
      <c r="N195" s="32" t="s">
        <v>1110</v>
      </c>
      <c r="O195" s="31">
        <f>939</f>
        <v>939</v>
      </c>
      <c r="P195" s="32" t="s">
        <v>1113</v>
      </c>
      <c r="Q195" s="31">
        <f>985</f>
        <v>985</v>
      </c>
      <c r="R195" s="32" t="s">
        <v>681</v>
      </c>
      <c r="S195" s="33">
        <f>992.05</f>
        <v>992.05</v>
      </c>
      <c r="T195" s="30">
        <f>1399331</f>
        <v>1399331</v>
      </c>
      <c r="U195" s="30" t="str">
        <f>"－"</f>
        <v>－</v>
      </c>
      <c r="V195" s="30">
        <f>1381908491</f>
        <v>1381908491</v>
      </c>
      <c r="W195" s="30" t="str">
        <f>"－"</f>
        <v>－</v>
      </c>
      <c r="X195" s="34">
        <f>22</f>
        <v>22</v>
      </c>
    </row>
    <row r="196" spans="1:24">
      <c r="A196" s="25" t="s">
        <v>1232</v>
      </c>
      <c r="B196" s="25" t="s">
        <v>487</v>
      </c>
      <c r="C196" s="25" t="s">
        <v>488</v>
      </c>
      <c r="D196" s="25" t="s">
        <v>489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31160</f>
        <v>31160</v>
      </c>
      <c r="L196" s="32" t="s">
        <v>1110</v>
      </c>
      <c r="M196" s="31">
        <f>32540</f>
        <v>32540</v>
      </c>
      <c r="N196" s="32" t="s">
        <v>1112</v>
      </c>
      <c r="O196" s="31">
        <f>30600</f>
        <v>30600</v>
      </c>
      <c r="P196" s="32" t="s">
        <v>675</v>
      </c>
      <c r="Q196" s="31">
        <f>30890</f>
        <v>30890</v>
      </c>
      <c r="R196" s="32" t="s">
        <v>681</v>
      </c>
      <c r="S196" s="33">
        <f>31492.73</f>
        <v>31492.73</v>
      </c>
      <c r="T196" s="30">
        <f>24315</f>
        <v>24315</v>
      </c>
      <c r="U196" s="30" t="str">
        <f>"－"</f>
        <v>－</v>
      </c>
      <c r="V196" s="30">
        <f>767699610</f>
        <v>767699610</v>
      </c>
      <c r="W196" s="30" t="str">
        <f>"－"</f>
        <v>－</v>
      </c>
      <c r="X196" s="34">
        <f>22</f>
        <v>22</v>
      </c>
    </row>
    <row r="197" spans="1:24">
      <c r="A197" s="25" t="s">
        <v>1232</v>
      </c>
      <c r="B197" s="25" t="s">
        <v>490</v>
      </c>
      <c r="C197" s="25" t="s">
        <v>491</v>
      </c>
      <c r="D197" s="25" t="s">
        <v>492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2403</f>
        <v>2403</v>
      </c>
      <c r="L197" s="32" t="s">
        <v>1110</v>
      </c>
      <c r="M197" s="31">
        <f>2429</f>
        <v>2429</v>
      </c>
      <c r="N197" s="32" t="s">
        <v>675</v>
      </c>
      <c r="O197" s="31">
        <f>2339</f>
        <v>2339</v>
      </c>
      <c r="P197" s="32" t="s">
        <v>1112</v>
      </c>
      <c r="Q197" s="31">
        <f>2415</f>
        <v>2415</v>
      </c>
      <c r="R197" s="32" t="s">
        <v>681</v>
      </c>
      <c r="S197" s="33">
        <f>2386.73</f>
        <v>2386.73</v>
      </c>
      <c r="T197" s="30">
        <f>263852</f>
        <v>263852</v>
      </c>
      <c r="U197" s="30" t="str">
        <f>"－"</f>
        <v>－</v>
      </c>
      <c r="V197" s="30">
        <f>631150636</f>
        <v>631150636</v>
      </c>
      <c r="W197" s="30" t="str">
        <f>"－"</f>
        <v>－</v>
      </c>
      <c r="X197" s="34">
        <f>22</f>
        <v>22</v>
      </c>
    </row>
    <row r="198" spans="1:24">
      <c r="A198" s="25" t="s">
        <v>1232</v>
      </c>
      <c r="B198" s="25" t="s">
        <v>493</v>
      </c>
      <c r="C198" s="25" t="s">
        <v>1057</v>
      </c>
      <c r="D198" s="25" t="s">
        <v>1058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6953</f>
        <v>6953</v>
      </c>
      <c r="L198" s="32" t="s">
        <v>1110</v>
      </c>
      <c r="M198" s="31">
        <f>7037</f>
        <v>7037</v>
      </c>
      <c r="N198" s="32" t="s">
        <v>1110</v>
      </c>
      <c r="O198" s="31">
        <f>6278</f>
        <v>6278</v>
      </c>
      <c r="P198" s="32" t="s">
        <v>683</v>
      </c>
      <c r="Q198" s="31">
        <f>6625</f>
        <v>6625</v>
      </c>
      <c r="R198" s="32" t="s">
        <v>681</v>
      </c>
      <c r="S198" s="33">
        <f>6666.95</f>
        <v>6666.95</v>
      </c>
      <c r="T198" s="30">
        <f>44158</f>
        <v>44158</v>
      </c>
      <c r="U198" s="30">
        <f>3</f>
        <v>3</v>
      </c>
      <c r="V198" s="30">
        <f>289988171</f>
        <v>289988171</v>
      </c>
      <c r="W198" s="30">
        <f>19770</f>
        <v>19770</v>
      </c>
      <c r="X198" s="34">
        <f>22</f>
        <v>22</v>
      </c>
    </row>
    <row r="199" spans="1:24">
      <c r="A199" s="25" t="s">
        <v>1232</v>
      </c>
      <c r="B199" s="25" t="s">
        <v>494</v>
      </c>
      <c r="C199" s="25" t="s">
        <v>495</v>
      </c>
      <c r="D199" s="25" t="s">
        <v>496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20165</f>
        <v>20165</v>
      </c>
      <c r="L199" s="32" t="s">
        <v>1110</v>
      </c>
      <c r="M199" s="31">
        <f>20895</f>
        <v>20895</v>
      </c>
      <c r="N199" s="32" t="s">
        <v>678</v>
      </c>
      <c r="O199" s="31">
        <f>20140</f>
        <v>20140</v>
      </c>
      <c r="P199" s="32" t="s">
        <v>1115</v>
      </c>
      <c r="Q199" s="31">
        <f>20535</f>
        <v>20535</v>
      </c>
      <c r="R199" s="32" t="s">
        <v>683</v>
      </c>
      <c r="S199" s="33">
        <f>20480.33</f>
        <v>20480.330000000002</v>
      </c>
      <c r="T199" s="30">
        <f>489</f>
        <v>489</v>
      </c>
      <c r="U199" s="30" t="str">
        <f>"－"</f>
        <v>－</v>
      </c>
      <c r="V199" s="30">
        <f>10020015</f>
        <v>10020015</v>
      </c>
      <c r="W199" s="30" t="str">
        <f>"－"</f>
        <v>－</v>
      </c>
      <c r="X199" s="34">
        <f>15</f>
        <v>15</v>
      </c>
    </row>
    <row r="200" spans="1:24">
      <c r="A200" s="25" t="s">
        <v>1232</v>
      </c>
      <c r="B200" s="25" t="s">
        <v>497</v>
      </c>
      <c r="C200" s="25" t="s">
        <v>498</v>
      </c>
      <c r="D200" s="25" t="s">
        <v>499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29265</f>
        <v>29265</v>
      </c>
      <c r="L200" s="32" t="s">
        <v>1110</v>
      </c>
      <c r="M200" s="31">
        <f>30850</f>
        <v>30850</v>
      </c>
      <c r="N200" s="32" t="s">
        <v>683</v>
      </c>
      <c r="O200" s="31">
        <f>29140</f>
        <v>29140</v>
      </c>
      <c r="P200" s="32" t="s">
        <v>1116</v>
      </c>
      <c r="Q200" s="31">
        <f>30560</f>
        <v>30560</v>
      </c>
      <c r="R200" s="32" t="s">
        <v>681</v>
      </c>
      <c r="S200" s="33">
        <f>30236.59</f>
        <v>30236.59</v>
      </c>
      <c r="T200" s="30">
        <f>15469</f>
        <v>15469</v>
      </c>
      <c r="U200" s="30" t="str">
        <f>"－"</f>
        <v>－</v>
      </c>
      <c r="V200" s="30">
        <f>466495260</f>
        <v>466495260</v>
      </c>
      <c r="W200" s="30" t="str">
        <f>"－"</f>
        <v>－</v>
      </c>
      <c r="X200" s="34">
        <f>22</f>
        <v>22</v>
      </c>
    </row>
    <row r="201" spans="1:24">
      <c r="A201" s="25" t="s">
        <v>1232</v>
      </c>
      <c r="B201" s="25" t="s">
        <v>500</v>
      </c>
      <c r="C201" s="25" t="s">
        <v>501</v>
      </c>
      <c r="D201" s="25" t="s">
        <v>502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17665</f>
        <v>17665</v>
      </c>
      <c r="L201" s="32" t="s">
        <v>1110</v>
      </c>
      <c r="M201" s="31">
        <f>18435</f>
        <v>18435</v>
      </c>
      <c r="N201" s="32" t="s">
        <v>1145</v>
      </c>
      <c r="O201" s="31">
        <f>17395</f>
        <v>17395</v>
      </c>
      <c r="P201" s="32" t="s">
        <v>681</v>
      </c>
      <c r="Q201" s="31">
        <f>17395</f>
        <v>17395</v>
      </c>
      <c r="R201" s="32" t="s">
        <v>681</v>
      </c>
      <c r="S201" s="33">
        <f>17910.56</f>
        <v>17910.560000000001</v>
      </c>
      <c r="T201" s="30">
        <f>307</f>
        <v>307</v>
      </c>
      <c r="U201" s="30" t="str">
        <f>"－"</f>
        <v>－</v>
      </c>
      <c r="V201" s="30">
        <f>5485915</f>
        <v>5485915</v>
      </c>
      <c r="W201" s="30" t="str">
        <f>"－"</f>
        <v>－</v>
      </c>
      <c r="X201" s="34">
        <f>18</f>
        <v>18</v>
      </c>
    </row>
    <row r="202" spans="1:24">
      <c r="A202" s="25" t="s">
        <v>1232</v>
      </c>
      <c r="B202" s="25" t="s">
        <v>503</v>
      </c>
      <c r="C202" s="25" t="s">
        <v>504</v>
      </c>
      <c r="D202" s="25" t="s">
        <v>505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35610</f>
        <v>35610</v>
      </c>
      <c r="L202" s="32" t="s">
        <v>1110</v>
      </c>
      <c r="M202" s="31">
        <f>36270</f>
        <v>36270</v>
      </c>
      <c r="N202" s="32" t="s">
        <v>1110</v>
      </c>
      <c r="O202" s="31">
        <f>32340</f>
        <v>32340</v>
      </c>
      <c r="P202" s="32" t="s">
        <v>679</v>
      </c>
      <c r="Q202" s="31">
        <f>33300</f>
        <v>33300</v>
      </c>
      <c r="R202" s="32" t="s">
        <v>681</v>
      </c>
      <c r="S202" s="33">
        <f>34228.64</f>
        <v>34228.639999999999</v>
      </c>
      <c r="T202" s="30">
        <f>54095</f>
        <v>54095</v>
      </c>
      <c r="U202" s="30">
        <f>9</f>
        <v>9</v>
      </c>
      <c r="V202" s="30">
        <f>1846831460</f>
        <v>1846831460</v>
      </c>
      <c r="W202" s="30">
        <f>300970</f>
        <v>300970</v>
      </c>
      <c r="X202" s="34">
        <f>22</f>
        <v>22</v>
      </c>
    </row>
    <row r="203" spans="1:24">
      <c r="A203" s="25" t="s">
        <v>1232</v>
      </c>
      <c r="B203" s="25" t="s">
        <v>506</v>
      </c>
      <c r="C203" s="25" t="s">
        <v>507</v>
      </c>
      <c r="D203" s="25" t="s">
        <v>508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3255</f>
        <v>3255</v>
      </c>
      <c r="L203" s="32" t="s">
        <v>1110</v>
      </c>
      <c r="M203" s="31">
        <f>3695</f>
        <v>3695</v>
      </c>
      <c r="N203" s="32" t="s">
        <v>1114</v>
      </c>
      <c r="O203" s="31">
        <f>3115</f>
        <v>3115</v>
      </c>
      <c r="P203" s="32" t="s">
        <v>1110</v>
      </c>
      <c r="Q203" s="31">
        <f>3655</f>
        <v>3655</v>
      </c>
      <c r="R203" s="32" t="s">
        <v>681</v>
      </c>
      <c r="S203" s="33">
        <f>3447.5</f>
        <v>3447.5</v>
      </c>
      <c r="T203" s="30">
        <f>8594</f>
        <v>8594</v>
      </c>
      <c r="U203" s="30" t="str">
        <f t="shared" ref="U203:U214" si="2">"－"</f>
        <v>－</v>
      </c>
      <c r="V203" s="30">
        <f>29897995</f>
        <v>29897995</v>
      </c>
      <c r="W203" s="30" t="str">
        <f t="shared" ref="W203:W214" si="3">"－"</f>
        <v>－</v>
      </c>
      <c r="X203" s="34">
        <f>22</f>
        <v>22</v>
      </c>
    </row>
    <row r="204" spans="1:24">
      <c r="A204" s="25" t="s">
        <v>1232</v>
      </c>
      <c r="B204" s="25" t="s">
        <v>509</v>
      </c>
      <c r="C204" s="25" t="s">
        <v>510</v>
      </c>
      <c r="D204" s="25" t="s">
        <v>511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28300</f>
        <v>28300</v>
      </c>
      <c r="L204" s="32" t="s">
        <v>1110</v>
      </c>
      <c r="M204" s="31">
        <f>30610</f>
        <v>30610</v>
      </c>
      <c r="N204" s="32" t="s">
        <v>681</v>
      </c>
      <c r="O204" s="31">
        <f>28300</f>
        <v>28300</v>
      </c>
      <c r="P204" s="32" t="s">
        <v>1110</v>
      </c>
      <c r="Q204" s="31">
        <f>30350</f>
        <v>30350</v>
      </c>
      <c r="R204" s="32" t="s">
        <v>681</v>
      </c>
      <c r="S204" s="33">
        <f>29738.24</f>
        <v>29738.240000000002</v>
      </c>
      <c r="T204" s="30">
        <f>3391</f>
        <v>3391</v>
      </c>
      <c r="U204" s="30" t="str">
        <f t="shared" si="2"/>
        <v>－</v>
      </c>
      <c r="V204" s="30">
        <f>101283905</f>
        <v>101283905</v>
      </c>
      <c r="W204" s="30" t="str">
        <f t="shared" si="3"/>
        <v>－</v>
      </c>
      <c r="X204" s="34">
        <f>17</f>
        <v>17</v>
      </c>
    </row>
    <row r="205" spans="1:24">
      <c r="A205" s="25" t="s">
        <v>1232</v>
      </c>
      <c r="B205" s="25" t="s">
        <v>512</v>
      </c>
      <c r="C205" s="25" t="s">
        <v>513</v>
      </c>
      <c r="D205" s="25" t="s">
        <v>514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19505</f>
        <v>19505</v>
      </c>
      <c r="L205" s="32" t="s">
        <v>1116</v>
      </c>
      <c r="M205" s="31">
        <f>19555</f>
        <v>19555</v>
      </c>
      <c r="N205" s="32" t="s">
        <v>1145</v>
      </c>
      <c r="O205" s="31">
        <f>18955</f>
        <v>18955</v>
      </c>
      <c r="P205" s="32" t="s">
        <v>683</v>
      </c>
      <c r="Q205" s="31">
        <f>18955</f>
        <v>18955</v>
      </c>
      <c r="R205" s="32" t="s">
        <v>683</v>
      </c>
      <c r="S205" s="33">
        <f>19365</f>
        <v>19365</v>
      </c>
      <c r="T205" s="30">
        <f>10</f>
        <v>10</v>
      </c>
      <c r="U205" s="30" t="str">
        <f t="shared" si="2"/>
        <v>－</v>
      </c>
      <c r="V205" s="30">
        <f>193390</f>
        <v>193390</v>
      </c>
      <c r="W205" s="30" t="str">
        <f t="shared" si="3"/>
        <v>－</v>
      </c>
      <c r="X205" s="34">
        <f>4</f>
        <v>4</v>
      </c>
    </row>
    <row r="206" spans="1:24">
      <c r="A206" s="25" t="s">
        <v>1232</v>
      </c>
      <c r="B206" s="25" t="s">
        <v>515</v>
      </c>
      <c r="C206" s="25" t="s">
        <v>516</v>
      </c>
      <c r="D206" s="25" t="s">
        <v>517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32460</f>
        <v>32460</v>
      </c>
      <c r="L206" s="32" t="s">
        <v>1110</v>
      </c>
      <c r="M206" s="31">
        <f>35000</f>
        <v>35000</v>
      </c>
      <c r="N206" s="32" t="s">
        <v>1114</v>
      </c>
      <c r="O206" s="31">
        <f>32450</f>
        <v>32450</v>
      </c>
      <c r="P206" s="32" t="s">
        <v>1116</v>
      </c>
      <c r="Q206" s="31">
        <f>35000</f>
        <v>35000</v>
      </c>
      <c r="R206" s="32" t="s">
        <v>777</v>
      </c>
      <c r="S206" s="33">
        <f>33980.71</f>
        <v>33980.71</v>
      </c>
      <c r="T206" s="30">
        <f>282</f>
        <v>282</v>
      </c>
      <c r="U206" s="30" t="str">
        <f t="shared" si="2"/>
        <v>－</v>
      </c>
      <c r="V206" s="30">
        <f>9555150</f>
        <v>9555150</v>
      </c>
      <c r="W206" s="30" t="str">
        <f t="shared" si="3"/>
        <v>－</v>
      </c>
      <c r="X206" s="34">
        <f>14</f>
        <v>14</v>
      </c>
    </row>
    <row r="207" spans="1:24">
      <c r="A207" s="25" t="s">
        <v>1232</v>
      </c>
      <c r="B207" s="25" t="s">
        <v>518</v>
      </c>
      <c r="C207" s="25" t="s">
        <v>519</v>
      </c>
      <c r="D207" s="25" t="s">
        <v>520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18290</f>
        <v>18290</v>
      </c>
      <c r="L207" s="32" t="s">
        <v>1110</v>
      </c>
      <c r="M207" s="31">
        <f>19400</f>
        <v>19400</v>
      </c>
      <c r="N207" s="32" t="s">
        <v>683</v>
      </c>
      <c r="O207" s="31">
        <f>18290</f>
        <v>18290</v>
      </c>
      <c r="P207" s="32" t="s">
        <v>1110</v>
      </c>
      <c r="Q207" s="31">
        <f>19290</f>
        <v>19290</v>
      </c>
      <c r="R207" s="32" t="s">
        <v>1114</v>
      </c>
      <c r="S207" s="33">
        <f>18851.25</f>
        <v>18851.25</v>
      </c>
      <c r="T207" s="30">
        <f>1145</f>
        <v>1145</v>
      </c>
      <c r="U207" s="30" t="str">
        <f t="shared" si="2"/>
        <v>－</v>
      </c>
      <c r="V207" s="30">
        <f>22140965</f>
        <v>22140965</v>
      </c>
      <c r="W207" s="30" t="str">
        <f t="shared" si="3"/>
        <v>－</v>
      </c>
      <c r="X207" s="34">
        <f>4</f>
        <v>4</v>
      </c>
    </row>
    <row r="208" spans="1:24">
      <c r="A208" s="25" t="s">
        <v>1232</v>
      </c>
      <c r="B208" s="25" t="s">
        <v>521</v>
      </c>
      <c r="C208" s="25" t="s">
        <v>522</v>
      </c>
      <c r="D208" s="25" t="s">
        <v>523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19170</f>
        <v>19170</v>
      </c>
      <c r="L208" s="32" t="s">
        <v>1110</v>
      </c>
      <c r="M208" s="31">
        <f>19805</f>
        <v>19805</v>
      </c>
      <c r="N208" s="32" t="s">
        <v>1115</v>
      </c>
      <c r="O208" s="31">
        <f>18825</f>
        <v>18825</v>
      </c>
      <c r="P208" s="32" t="s">
        <v>679</v>
      </c>
      <c r="Q208" s="31">
        <f>19325</f>
        <v>19325</v>
      </c>
      <c r="R208" s="32" t="s">
        <v>681</v>
      </c>
      <c r="S208" s="33">
        <f>19411.05</f>
        <v>19411.05</v>
      </c>
      <c r="T208" s="30">
        <f>675</f>
        <v>675</v>
      </c>
      <c r="U208" s="30" t="str">
        <f t="shared" si="2"/>
        <v>－</v>
      </c>
      <c r="V208" s="30">
        <f>13066350</f>
        <v>13066350</v>
      </c>
      <c r="W208" s="30" t="str">
        <f t="shared" si="3"/>
        <v>－</v>
      </c>
      <c r="X208" s="34">
        <f>19</f>
        <v>19</v>
      </c>
    </row>
    <row r="209" spans="1:24">
      <c r="A209" s="25" t="s">
        <v>1232</v>
      </c>
      <c r="B209" s="25" t="s">
        <v>524</v>
      </c>
      <c r="C209" s="25" t="s">
        <v>525</v>
      </c>
      <c r="D209" s="25" t="s">
        <v>526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22995</f>
        <v>22995</v>
      </c>
      <c r="L209" s="32" t="s">
        <v>1110</v>
      </c>
      <c r="M209" s="31">
        <f>22995</f>
        <v>22995</v>
      </c>
      <c r="N209" s="32" t="s">
        <v>1110</v>
      </c>
      <c r="O209" s="31">
        <f>22370</f>
        <v>22370</v>
      </c>
      <c r="P209" s="32" t="s">
        <v>683</v>
      </c>
      <c r="Q209" s="31">
        <f>22985</f>
        <v>22985</v>
      </c>
      <c r="R209" s="32" t="s">
        <v>883</v>
      </c>
      <c r="S209" s="33">
        <f>22783.33</f>
        <v>22783.33</v>
      </c>
      <c r="T209" s="30">
        <f>20</f>
        <v>20</v>
      </c>
      <c r="U209" s="30" t="str">
        <f t="shared" si="2"/>
        <v>－</v>
      </c>
      <c r="V209" s="30">
        <f>454175</f>
        <v>454175</v>
      </c>
      <c r="W209" s="30" t="str">
        <f t="shared" si="3"/>
        <v>－</v>
      </c>
      <c r="X209" s="34">
        <f>3</f>
        <v>3</v>
      </c>
    </row>
    <row r="210" spans="1:24">
      <c r="A210" s="25" t="s">
        <v>1232</v>
      </c>
      <c r="B210" s="25" t="s">
        <v>527</v>
      </c>
      <c r="C210" s="25" t="s">
        <v>528</v>
      </c>
      <c r="D210" s="25" t="s">
        <v>529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17990</f>
        <v>17990</v>
      </c>
      <c r="L210" s="32" t="s">
        <v>1145</v>
      </c>
      <c r="M210" s="31">
        <f>17990</f>
        <v>17990</v>
      </c>
      <c r="N210" s="32" t="s">
        <v>1145</v>
      </c>
      <c r="O210" s="31">
        <f>17990</f>
        <v>17990</v>
      </c>
      <c r="P210" s="32" t="s">
        <v>1145</v>
      </c>
      <c r="Q210" s="31">
        <f>17990</f>
        <v>17990</v>
      </c>
      <c r="R210" s="32" t="s">
        <v>1145</v>
      </c>
      <c r="S210" s="33">
        <f>17990</f>
        <v>17990</v>
      </c>
      <c r="T210" s="30">
        <f>1</f>
        <v>1</v>
      </c>
      <c r="U210" s="30" t="str">
        <f t="shared" si="2"/>
        <v>－</v>
      </c>
      <c r="V210" s="30">
        <f>17990</f>
        <v>17990</v>
      </c>
      <c r="W210" s="30" t="str">
        <f t="shared" si="3"/>
        <v>－</v>
      </c>
      <c r="X210" s="34">
        <f>1</f>
        <v>1</v>
      </c>
    </row>
    <row r="211" spans="1:24">
      <c r="A211" s="25" t="s">
        <v>1232</v>
      </c>
      <c r="B211" s="25" t="s">
        <v>530</v>
      </c>
      <c r="C211" s="25" t="s">
        <v>531</v>
      </c>
      <c r="D211" s="25" t="s">
        <v>532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12090</f>
        <v>12090</v>
      </c>
      <c r="L211" s="32" t="s">
        <v>1145</v>
      </c>
      <c r="M211" s="31">
        <f>12340</f>
        <v>12340</v>
      </c>
      <c r="N211" s="32" t="s">
        <v>684</v>
      </c>
      <c r="O211" s="31">
        <f>11920</f>
        <v>11920</v>
      </c>
      <c r="P211" s="32" t="s">
        <v>683</v>
      </c>
      <c r="Q211" s="31">
        <f>12110</f>
        <v>12110</v>
      </c>
      <c r="R211" s="32" t="s">
        <v>681</v>
      </c>
      <c r="S211" s="33">
        <f>12150</f>
        <v>12150</v>
      </c>
      <c r="T211" s="30">
        <f>3381</f>
        <v>3381</v>
      </c>
      <c r="U211" s="30" t="str">
        <f t="shared" si="2"/>
        <v>－</v>
      </c>
      <c r="V211" s="30">
        <f>41432035</f>
        <v>41432035</v>
      </c>
      <c r="W211" s="30" t="str">
        <f t="shared" si="3"/>
        <v>－</v>
      </c>
      <c r="X211" s="34">
        <f>11</f>
        <v>11</v>
      </c>
    </row>
    <row r="212" spans="1:24">
      <c r="A212" s="25" t="s">
        <v>1232</v>
      </c>
      <c r="B212" s="25" t="s">
        <v>533</v>
      </c>
      <c r="C212" s="25" t="s">
        <v>534</v>
      </c>
      <c r="D212" s="25" t="s">
        <v>535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14555</f>
        <v>14555</v>
      </c>
      <c r="L212" s="32" t="s">
        <v>1110</v>
      </c>
      <c r="M212" s="31">
        <f>14855</f>
        <v>14855</v>
      </c>
      <c r="N212" s="32" t="s">
        <v>1115</v>
      </c>
      <c r="O212" s="31">
        <f>13990</f>
        <v>13990</v>
      </c>
      <c r="P212" s="32" t="s">
        <v>683</v>
      </c>
      <c r="Q212" s="31">
        <f>14335</f>
        <v>14335</v>
      </c>
      <c r="R212" s="32" t="s">
        <v>681</v>
      </c>
      <c r="S212" s="33">
        <f>14451.94</f>
        <v>14451.94</v>
      </c>
      <c r="T212" s="30">
        <f>11993</f>
        <v>11993</v>
      </c>
      <c r="U212" s="30" t="str">
        <f t="shared" si="2"/>
        <v>－</v>
      </c>
      <c r="V212" s="30">
        <f>173209800</f>
        <v>173209800</v>
      </c>
      <c r="W212" s="30" t="str">
        <f t="shared" si="3"/>
        <v>－</v>
      </c>
      <c r="X212" s="34">
        <f>18</f>
        <v>18</v>
      </c>
    </row>
    <row r="213" spans="1:24">
      <c r="A213" s="25" t="s">
        <v>1232</v>
      </c>
      <c r="B213" s="25" t="s">
        <v>536</v>
      </c>
      <c r="C213" s="25" t="s">
        <v>537</v>
      </c>
      <c r="D213" s="25" t="s">
        <v>538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12810</f>
        <v>12810</v>
      </c>
      <c r="L213" s="32" t="s">
        <v>1116</v>
      </c>
      <c r="M213" s="31">
        <f>13035</f>
        <v>13035</v>
      </c>
      <c r="N213" s="32" t="s">
        <v>875</v>
      </c>
      <c r="O213" s="31">
        <f>12460</f>
        <v>12460</v>
      </c>
      <c r="P213" s="32" t="s">
        <v>679</v>
      </c>
      <c r="Q213" s="31">
        <f>12840</f>
        <v>12840</v>
      </c>
      <c r="R213" s="32" t="s">
        <v>681</v>
      </c>
      <c r="S213" s="33">
        <f>12859</f>
        <v>12859</v>
      </c>
      <c r="T213" s="30">
        <f>308</f>
        <v>308</v>
      </c>
      <c r="U213" s="30" t="str">
        <f t="shared" si="2"/>
        <v>－</v>
      </c>
      <c r="V213" s="30">
        <f>3892200</f>
        <v>3892200</v>
      </c>
      <c r="W213" s="30" t="str">
        <f t="shared" si="3"/>
        <v>－</v>
      </c>
      <c r="X213" s="34">
        <f>10</f>
        <v>10</v>
      </c>
    </row>
    <row r="214" spans="1:24">
      <c r="A214" s="25" t="s">
        <v>1232</v>
      </c>
      <c r="B214" s="25" t="s">
        <v>783</v>
      </c>
      <c r="C214" s="25" t="s">
        <v>784</v>
      </c>
      <c r="D214" s="25" t="s">
        <v>785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13180</f>
        <v>13180</v>
      </c>
      <c r="L214" s="32" t="s">
        <v>1145</v>
      </c>
      <c r="M214" s="31">
        <f>13430</f>
        <v>13430</v>
      </c>
      <c r="N214" s="32" t="s">
        <v>682</v>
      </c>
      <c r="O214" s="31">
        <f>12820</f>
        <v>12820</v>
      </c>
      <c r="P214" s="32" t="s">
        <v>683</v>
      </c>
      <c r="Q214" s="31">
        <f>12820</f>
        <v>12820</v>
      </c>
      <c r="R214" s="32" t="s">
        <v>683</v>
      </c>
      <c r="S214" s="33">
        <f>13209</f>
        <v>13209</v>
      </c>
      <c r="T214" s="30">
        <f>331</f>
        <v>331</v>
      </c>
      <c r="U214" s="30" t="str">
        <f t="shared" si="2"/>
        <v>－</v>
      </c>
      <c r="V214" s="30">
        <f>4375970</f>
        <v>4375970</v>
      </c>
      <c r="W214" s="30" t="str">
        <f t="shared" si="3"/>
        <v>－</v>
      </c>
      <c r="X214" s="34">
        <f>5</f>
        <v>5</v>
      </c>
    </row>
    <row r="215" spans="1:24">
      <c r="A215" s="25" t="s">
        <v>1232</v>
      </c>
      <c r="B215" s="25" t="s">
        <v>991</v>
      </c>
      <c r="C215" s="25" t="s">
        <v>992</v>
      </c>
      <c r="D215" s="25" t="s">
        <v>993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1123</f>
        <v>1123</v>
      </c>
      <c r="L215" s="32" t="s">
        <v>1110</v>
      </c>
      <c r="M215" s="31">
        <f>1160</f>
        <v>1160</v>
      </c>
      <c r="N215" s="32" t="s">
        <v>1115</v>
      </c>
      <c r="O215" s="31">
        <f>1096</f>
        <v>1096</v>
      </c>
      <c r="P215" s="32" t="s">
        <v>1114</v>
      </c>
      <c r="Q215" s="31">
        <f>1136</f>
        <v>1136</v>
      </c>
      <c r="R215" s="32" t="s">
        <v>681</v>
      </c>
      <c r="S215" s="33">
        <f>1130.45</f>
        <v>1130.45</v>
      </c>
      <c r="T215" s="30">
        <f>1187633</f>
        <v>1187633</v>
      </c>
      <c r="U215" s="30">
        <f>45420</f>
        <v>45420</v>
      </c>
      <c r="V215" s="30">
        <f>1344284533</f>
        <v>1344284533</v>
      </c>
      <c r="W215" s="30">
        <f>51184580</f>
        <v>51184580</v>
      </c>
      <c r="X215" s="34">
        <f>22</f>
        <v>22</v>
      </c>
    </row>
    <row r="216" spans="1:24">
      <c r="A216" s="25" t="s">
        <v>1232</v>
      </c>
      <c r="B216" s="25" t="s">
        <v>994</v>
      </c>
      <c r="C216" s="25" t="s">
        <v>995</v>
      </c>
      <c r="D216" s="25" t="s">
        <v>996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1180</f>
        <v>1180</v>
      </c>
      <c r="L216" s="32" t="s">
        <v>1110</v>
      </c>
      <c r="M216" s="31">
        <f>1215</f>
        <v>1215</v>
      </c>
      <c r="N216" s="32" t="s">
        <v>1115</v>
      </c>
      <c r="O216" s="31">
        <f>1142</f>
        <v>1142</v>
      </c>
      <c r="P216" s="32" t="s">
        <v>681</v>
      </c>
      <c r="Q216" s="31">
        <f>1142</f>
        <v>1142</v>
      </c>
      <c r="R216" s="32" t="s">
        <v>681</v>
      </c>
      <c r="S216" s="33">
        <f>1176.68</f>
        <v>1176.68</v>
      </c>
      <c r="T216" s="30">
        <f>128248</f>
        <v>128248</v>
      </c>
      <c r="U216" s="30" t="str">
        <f>"－"</f>
        <v>－</v>
      </c>
      <c r="V216" s="30">
        <f>150915468</f>
        <v>150915468</v>
      </c>
      <c r="W216" s="30" t="str">
        <f>"－"</f>
        <v>－</v>
      </c>
      <c r="X216" s="34">
        <f>22</f>
        <v>22</v>
      </c>
    </row>
    <row r="217" spans="1:24">
      <c r="A217" s="25" t="s">
        <v>1232</v>
      </c>
      <c r="B217" s="25" t="s">
        <v>997</v>
      </c>
      <c r="C217" s="25" t="s">
        <v>998</v>
      </c>
      <c r="D217" s="25" t="s">
        <v>999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1063</f>
        <v>1063</v>
      </c>
      <c r="L217" s="32" t="s">
        <v>1110</v>
      </c>
      <c r="M217" s="31">
        <f>1069</f>
        <v>1069</v>
      </c>
      <c r="N217" s="32" t="s">
        <v>875</v>
      </c>
      <c r="O217" s="31">
        <f>1004</f>
        <v>1004</v>
      </c>
      <c r="P217" s="32" t="s">
        <v>1114</v>
      </c>
      <c r="Q217" s="31">
        <f>1038</f>
        <v>1038</v>
      </c>
      <c r="R217" s="32" t="s">
        <v>681</v>
      </c>
      <c r="S217" s="33">
        <f>1039.18</f>
        <v>1039.18</v>
      </c>
      <c r="T217" s="30">
        <f>13507</f>
        <v>13507</v>
      </c>
      <c r="U217" s="30" t="str">
        <f>"－"</f>
        <v>－</v>
      </c>
      <c r="V217" s="30">
        <f>13846404</f>
        <v>13846404</v>
      </c>
      <c r="W217" s="30" t="str">
        <f>"－"</f>
        <v>－</v>
      </c>
      <c r="X217" s="34">
        <f>22</f>
        <v>22</v>
      </c>
    </row>
    <row r="218" spans="1:24">
      <c r="A218" s="25" t="s">
        <v>1232</v>
      </c>
      <c r="B218" s="25" t="s">
        <v>1000</v>
      </c>
      <c r="C218" s="25" t="s">
        <v>1001</v>
      </c>
      <c r="D218" s="25" t="s">
        <v>1002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2187</f>
        <v>2187</v>
      </c>
      <c r="L218" s="32" t="s">
        <v>1110</v>
      </c>
      <c r="M218" s="31">
        <f>2254</f>
        <v>2254</v>
      </c>
      <c r="N218" s="32" t="s">
        <v>1115</v>
      </c>
      <c r="O218" s="31">
        <f>2113</f>
        <v>2113</v>
      </c>
      <c r="P218" s="32" t="s">
        <v>679</v>
      </c>
      <c r="Q218" s="31">
        <f>2200</f>
        <v>2200</v>
      </c>
      <c r="R218" s="32" t="s">
        <v>681</v>
      </c>
      <c r="S218" s="33">
        <f>2188.18</f>
        <v>2188.1799999999998</v>
      </c>
      <c r="T218" s="30">
        <f>243905</f>
        <v>243905</v>
      </c>
      <c r="U218" s="30" t="str">
        <f>"－"</f>
        <v>－</v>
      </c>
      <c r="V218" s="30">
        <f>535504861</f>
        <v>535504861</v>
      </c>
      <c r="W218" s="30" t="str">
        <f>"－"</f>
        <v>－</v>
      </c>
      <c r="X218" s="34">
        <f>22</f>
        <v>22</v>
      </c>
    </row>
    <row r="219" spans="1:24">
      <c r="A219" s="25" t="s">
        <v>1232</v>
      </c>
      <c r="B219" s="25" t="s">
        <v>1003</v>
      </c>
      <c r="C219" s="25" t="s">
        <v>1004</v>
      </c>
      <c r="D219" s="25" t="s">
        <v>1005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2262</f>
        <v>2262</v>
      </c>
      <c r="L219" s="32" t="s">
        <v>1110</v>
      </c>
      <c r="M219" s="31">
        <f>2322</f>
        <v>2322</v>
      </c>
      <c r="N219" s="32" t="s">
        <v>1145</v>
      </c>
      <c r="O219" s="31">
        <f>2190</f>
        <v>2190</v>
      </c>
      <c r="P219" s="32" t="s">
        <v>1114</v>
      </c>
      <c r="Q219" s="31">
        <f>2273</f>
        <v>2273</v>
      </c>
      <c r="R219" s="32" t="s">
        <v>681</v>
      </c>
      <c r="S219" s="33">
        <f>2262.32</f>
        <v>2262.3200000000002</v>
      </c>
      <c r="T219" s="30">
        <f>788644</f>
        <v>788644</v>
      </c>
      <c r="U219" s="30">
        <f>115430</f>
        <v>115430</v>
      </c>
      <c r="V219" s="30">
        <f>1790539648</f>
        <v>1790539648</v>
      </c>
      <c r="W219" s="30">
        <f>265736985</f>
        <v>265736985</v>
      </c>
      <c r="X219" s="34">
        <f>22</f>
        <v>22</v>
      </c>
    </row>
    <row r="220" spans="1:24">
      <c r="A220" s="25" t="s">
        <v>1232</v>
      </c>
      <c r="B220" s="25" t="s">
        <v>1006</v>
      </c>
      <c r="C220" s="25" t="s">
        <v>1007</v>
      </c>
      <c r="D220" s="25" t="s">
        <v>1008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567.7</f>
        <v>567.70000000000005</v>
      </c>
      <c r="L220" s="32" t="s">
        <v>1110</v>
      </c>
      <c r="M220" s="31">
        <f>575.5</f>
        <v>575.5</v>
      </c>
      <c r="N220" s="32" t="s">
        <v>1115</v>
      </c>
      <c r="O220" s="31">
        <f>532.9</f>
        <v>532.9</v>
      </c>
      <c r="P220" s="32" t="s">
        <v>1114</v>
      </c>
      <c r="Q220" s="31">
        <f>552</f>
        <v>552</v>
      </c>
      <c r="R220" s="32" t="s">
        <v>681</v>
      </c>
      <c r="S220" s="33">
        <f>551.71</f>
        <v>551.71</v>
      </c>
      <c r="T220" s="30">
        <f>889350</f>
        <v>889350</v>
      </c>
      <c r="U220" s="30">
        <f>22520</f>
        <v>22520</v>
      </c>
      <c r="V220" s="30">
        <f>493812887</f>
        <v>493812887</v>
      </c>
      <c r="W220" s="30">
        <f>12264708</f>
        <v>12264708</v>
      </c>
      <c r="X220" s="34">
        <f>22</f>
        <v>22</v>
      </c>
    </row>
    <row r="221" spans="1:24">
      <c r="A221" s="25" t="s">
        <v>1232</v>
      </c>
      <c r="B221" s="25" t="s">
        <v>1009</v>
      </c>
      <c r="C221" s="25" t="s">
        <v>1010</v>
      </c>
      <c r="D221" s="25" t="s">
        <v>1011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2513</f>
        <v>2513</v>
      </c>
      <c r="L221" s="32" t="s">
        <v>1110</v>
      </c>
      <c r="M221" s="31">
        <f>2520.5</f>
        <v>2520.5</v>
      </c>
      <c r="N221" s="32" t="s">
        <v>1114</v>
      </c>
      <c r="O221" s="31">
        <f>2444</f>
        <v>2444</v>
      </c>
      <c r="P221" s="32" t="s">
        <v>1116</v>
      </c>
      <c r="Q221" s="31">
        <f>2465</f>
        <v>2465</v>
      </c>
      <c r="R221" s="32" t="s">
        <v>681</v>
      </c>
      <c r="S221" s="33">
        <f>2482.64</f>
        <v>2482.64</v>
      </c>
      <c r="T221" s="30">
        <f>516520</f>
        <v>516520</v>
      </c>
      <c r="U221" s="30">
        <f>201000</f>
        <v>201000</v>
      </c>
      <c r="V221" s="30">
        <f>1281866943</f>
        <v>1281866943</v>
      </c>
      <c r="W221" s="30">
        <f>499958133</f>
        <v>499958133</v>
      </c>
      <c r="X221" s="34">
        <f>14</f>
        <v>14</v>
      </c>
    </row>
    <row r="222" spans="1:24">
      <c r="A222" s="25" t="s">
        <v>1232</v>
      </c>
      <c r="B222" s="25" t="s">
        <v>1012</v>
      </c>
      <c r="C222" s="25" t="s">
        <v>1013</v>
      </c>
      <c r="D222" s="25" t="s">
        <v>1014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2487</f>
        <v>2487</v>
      </c>
      <c r="L222" s="32" t="s">
        <v>675</v>
      </c>
      <c r="M222" s="31">
        <f>2580.5</f>
        <v>2580.5</v>
      </c>
      <c r="N222" s="32" t="s">
        <v>777</v>
      </c>
      <c r="O222" s="31">
        <f>2487</f>
        <v>2487</v>
      </c>
      <c r="P222" s="32" t="s">
        <v>675</v>
      </c>
      <c r="Q222" s="31">
        <f>2542</f>
        <v>2542</v>
      </c>
      <c r="R222" s="32" t="s">
        <v>681</v>
      </c>
      <c r="S222" s="33">
        <f>2539.57</f>
        <v>2539.5700000000002</v>
      </c>
      <c r="T222" s="30">
        <f>230730</f>
        <v>230730</v>
      </c>
      <c r="U222" s="30" t="str">
        <f>"－"</f>
        <v>－</v>
      </c>
      <c r="V222" s="30">
        <f>588684045</f>
        <v>588684045</v>
      </c>
      <c r="W222" s="30" t="str">
        <f>"－"</f>
        <v>－</v>
      </c>
      <c r="X222" s="34">
        <f>15</f>
        <v>15</v>
      </c>
    </row>
    <row r="223" spans="1:24">
      <c r="A223" s="25" t="s">
        <v>1232</v>
      </c>
      <c r="B223" s="25" t="s">
        <v>1015</v>
      </c>
      <c r="C223" s="25" t="s">
        <v>1016</v>
      </c>
      <c r="D223" s="25" t="s">
        <v>1017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2307.5</f>
        <v>2307.5</v>
      </c>
      <c r="L223" s="32" t="s">
        <v>1145</v>
      </c>
      <c r="M223" s="31">
        <f>2377</f>
        <v>2377</v>
      </c>
      <c r="N223" s="32" t="s">
        <v>759</v>
      </c>
      <c r="O223" s="31">
        <f>2281.5</f>
        <v>2281.5</v>
      </c>
      <c r="P223" s="32" t="s">
        <v>777</v>
      </c>
      <c r="Q223" s="31">
        <f>2281.5</f>
        <v>2281.5</v>
      </c>
      <c r="R223" s="32" t="s">
        <v>777</v>
      </c>
      <c r="S223" s="33">
        <f>2314.68</f>
        <v>2314.6799999999998</v>
      </c>
      <c r="T223" s="30">
        <f>343030</f>
        <v>343030</v>
      </c>
      <c r="U223" s="30" t="str">
        <f>"－"</f>
        <v>－</v>
      </c>
      <c r="V223" s="30">
        <f>790349005</f>
        <v>790349005</v>
      </c>
      <c r="W223" s="30" t="str">
        <f>"－"</f>
        <v>－</v>
      </c>
      <c r="X223" s="34">
        <f>14</f>
        <v>14</v>
      </c>
    </row>
    <row r="224" spans="1:24">
      <c r="A224" s="25" t="s">
        <v>1232</v>
      </c>
      <c r="B224" s="25" t="s">
        <v>1018</v>
      </c>
      <c r="C224" s="25" t="s">
        <v>1019</v>
      </c>
      <c r="D224" s="25" t="s">
        <v>1020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2280.5</f>
        <v>2280.5</v>
      </c>
      <c r="L224" s="32" t="s">
        <v>1113</v>
      </c>
      <c r="M224" s="31">
        <f>2345</f>
        <v>2345</v>
      </c>
      <c r="N224" s="32" t="s">
        <v>1114</v>
      </c>
      <c r="O224" s="31">
        <f>2280.5</f>
        <v>2280.5</v>
      </c>
      <c r="P224" s="32" t="s">
        <v>1113</v>
      </c>
      <c r="Q224" s="31">
        <f>2345</f>
        <v>2345</v>
      </c>
      <c r="R224" s="32" t="s">
        <v>1114</v>
      </c>
      <c r="S224" s="33">
        <f>2315.33</f>
        <v>2315.33</v>
      </c>
      <c r="T224" s="30">
        <f>10010</f>
        <v>10010</v>
      </c>
      <c r="U224" s="30" t="str">
        <f>"－"</f>
        <v>－</v>
      </c>
      <c r="V224" s="30">
        <f>23150705</f>
        <v>23150705</v>
      </c>
      <c r="W224" s="30" t="str">
        <f>"－"</f>
        <v>－</v>
      </c>
      <c r="X224" s="34">
        <f>3</f>
        <v>3</v>
      </c>
    </row>
    <row r="225" spans="1:24">
      <c r="A225" s="25" t="s">
        <v>1232</v>
      </c>
      <c r="B225" s="25" t="s">
        <v>1021</v>
      </c>
      <c r="C225" s="25" t="s">
        <v>1022</v>
      </c>
      <c r="D225" s="25" t="s">
        <v>1023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4995</f>
        <v>4995</v>
      </c>
      <c r="L225" s="32" t="s">
        <v>684</v>
      </c>
      <c r="M225" s="31">
        <f>4997</f>
        <v>4997</v>
      </c>
      <c r="N225" s="32" t="s">
        <v>684</v>
      </c>
      <c r="O225" s="31">
        <f>4870</f>
        <v>4870</v>
      </c>
      <c r="P225" s="32" t="s">
        <v>778</v>
      </c>
      <c r="Q225" s="31">
        <f>4934</f>
        <v>4934</v>
      </c>
      <c r="R225" s="32" t="s">
        <v>778</v>
      </c>
      <c r="S225" s="33">
        <f>4964.5</f>
        <v>4964.5</v>
      </c>
      <c r="T225" s="30">
        <f>820030</f>
        <v>820030</v>
      </c>
      <c r="U225" s="30">
        <f>768000</f>
        <v>768000</v>
      </c>
      <c r="V225" s="30">
        <f>4094664897</f>
        <v>4094664897</v>
      </c>
      <c r="W225" s="30">
        <f>3834865477</f>
        <v>3834865477</v>
      </c>
      <c r="X225" s="34">
        <f>4</f>
        <v>4</v>
      </c>
    </row>
    <row r="226" spans="1:24">
      <c r="A226" s="25" t="s">
        <v>1232</v>
      </c>
      <c r="B226" s="25" t="s">
        <v>1024</v>
      </c>
      <c r="C226" s="25" t="s">
        <v>1025</v>
      </c>
      <c r="D226" s="25" t="s">
        <v>1026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5026</f>
        <v>5026</v>
      </c>
      <c r="L226" s="32" t="s">
        <v>683</v>
      </c>
      <c r="M226" s="31">
        <f>5026</f>
        <v>5026</v>
      </c>
      <c r="N226" s="32" t="s">
        <v>683</v>
      </c>
      <c r="O226" s="31">
        <f>5026</f>
        <v>5026</v>
      </c>
      <c r="P226" s="32" t="s">
        <v>683</v>
      </c>
      <c r="Q226" s="31">
        <f>5026</f>
        <v>5026</v>
      </c>
      <c r="R226" s="32" t="s">
        <v>683</v>
      </c>
      <c r="S226" s="33">
        <f>5026</f>
        <v>5026</v>
      </c>
      <c r="T226" s="30">
        <f>22500</f>
        <v>22500</v>
      </c>
      <c r="U226" s="30" t="str">
        <f>"－"</f>
        <v>－</v>
      </c>
      <c r="V226" s="30">
        <f>113085000</f>
        <v>113085000</v>
      </c>
      <c r="W226" s="30" t="str">
        <f>"－"</f>
        <v>－</v>
      </c>
      <c r="X226" s="34">
        <f>1</f>
        <v>1</v>
      </c>
    </row>
    <row r="227" spans="1:24">
      <c r="A227" s="25" t="s">
        <v>1232</v>
      </c>
      <c r="B227" s="25" t="s">
        <v>1027</v>
      </c>
      <c r="C227" s="25" t="s">
        <v>1028</v>
      </c>
      <c r="D227" s="25" t="s">
        <v>1029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 t="str">
        <f>"－"</f>
        <v>－</v>
      </c>
      <c r="L227" s="32"/>
      <c r="M227" s="31" t="str">
        <f>"－"</f>
        <v>－</v>
      </c>
      <c r="N227" s="32"/>
      <c r="O227" s="31" t="str">
        <f>"－"</f>
        <v>－</v>
      </c>
      <c r="P227" s="32"/>
      <c r="Q227" s="31" t="str">
        <f>"－"</f>
        <v>－</v>
      </c>
      <c r="R227" s="32"/>
      <c r="S227" s="33" t="str">
        <f>"－"</f>
        <v>－</v>
      </c>
      <c r="T227" s="30" t="str">
        <f>"－"</f>
        <v>－</v>
      </c>
      <c r="U227" s="30" t="str">
        <f>"－"</f>
        <v>－</v>
      </c>
      <c r="V227" s="30" t="str">
        <f>"－"</f>
        <v>－</v>
      </c>
      <c r="W227" s="30" t="str">
        <f>"－"</f>
        <v>－</v>
      </c>
      <c r="X227" s="34" t="str">
        <f>"－"</f>
        <v>－</v>
      </c>
    </row>
    <row r="228" spans="1:24">
      <c r="A228" s="25" t="s">
        <v>1232</v>
      </c>
      <c r="B228" s="25" t="s">
        <v>1053</v>
      </c>
      <c r="C228" s="25" t="s">
        <v>1052</v>
      </c>
      <c r="D228" s="25" t="s">
        <v>1051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4778</f>
        <v>4778</v>
      </c>
      <c r="L228" s="32" t="s">
        <v>1110</v>
      </c>
      <c r="M228" s="31">
        <f>5180</f>
        <v>5180</v>
      </c>
      <c r="N228" s="32" t="s">
        <v>681</v>
      </c>
      <c r="O228" s="31">
        <f>4778</f>
        <v>4778</v>
      </c>
      <c r="P228" s="32" t="s">
        <v>1110</v>
      </c>
      <c r="Q228" s="31">
        <f>5144</f>
        <v>5144</v>
      </c>
      <c r="R228" s="32" t="s">
        <v>681</v>
      </c>
      <c r="S228" s="33">
        <f>5033.14</f>
        <v>5033.1400000000003</v>
      </c>
      <c r="T228" s="30">
        <f>1728180</f>
        <v>1728180</v>
      </c>
      <c r="U228" s="30">
        <f>1665000</f>
        <v>1665000</v>
      </c>
      <c r="V228" s="30">
        <f>8594356079</f>
        <v>8594356079</v>
      </c>
      <c r="W228" s="30">
        <f>8270029559</f>
        <v>8270029559</v>
      </c>
      <c r="X228" s="34">
        <f>22</f>
        <v>22</v>
      </c>
    </row>
    <row r="229" spans="1:24">
      <c r="A229" s="25" t="s">
        <v>1232</v>
      </c>
      <c r="B229" s="25" t="s">
        <v>1050</v>
      </c>
      <c r="C229" s="25" t="s">
        <v>1049</v>
      </c>
      <c r="D229" s="25" t="s">
        <v>1048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961</f>
        <v>961</v>
      </c>
      <c r="L229" s="32" t="s">
        <v>1110</v>
      </c>
      <c r="M229" s="31">
        <f>991</f>
        <v>991</v>
      </c>
      <c r="N229" s="32" t="s">
        <v>1114</v>
      </c>
      <c r="O229" s="31">
        <f>960</f>
        <v>960</v>
      </c>
      <c r="P229" s="32" t="s">
        <v>1110</v>
      </c>
      <c r="Q229" s="31">
        <f>987</f>
        <v>987</v>
      </c>
      <c r="R229" s="32" t="s">
        <v>681</v>
      </c>
      <c r="S229" s="33">
        <f>976.27</f>
        <v>976.27</v>
      </c>
      <c r="T229" s="30">
        <f>27378</f>
        <v>27378</v>
      </c>
      <c r="U229" s="30" t="str">
        <f>"－"</f>
        <v>－</v>
      </c>
      <c r="V229" s="30">
        <f>26634784</f>
        <v>26634784</v>
      </c>
      <c r="W229" s="30" t="str">
        <f>"－"</f>
        <v>－</v>
      </c>
      <c r="X229" s="34">
        <f>22</f>
        <v>22</v>
      </c>
    </row>
    <row r="230" spans="1:24">
      <c r="A230" s="25" t="s">
        <v>1232</v>
      </c>
      <c r="B230" s="25" t="s">
        <v>1047</v>
      </c>
      <c r="C230" s="25" t="s">
        <v>1046</v>
      </c>
      <c r="D230" s="25" t="s">
        <v>1045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1214</f>
        <v>1214</v>
      </c>
      <c r="L230" s="32" t="s">
        <v>1110</v>
      </c>
      <c r="M230" s="31">
        <f>1214</f>
        <v>1214</v>
      </c>
      <c r="N230" s="32" t="s">
        <v>1110</v>
      </c>
      <c r="O230" s="31">
        <f>1153</f>
        <v>1153</v>
      </c>
      <c r="P230" s="32" t="s">
        <v>777</v>
      </c>
      <c r="Q230" s="31">
        <f>1155</f>
        <v>1155</v>
      </c>
      <c r="R230" s="32" t="s">
        <v>681</v>
      </c>
      <c r="S230" s="33">
        <f>1175.14</f>
        <v>1175.1400000000001</v>
      </c>
      <c r="T230" s="30">
        <f>65842</f>
        <v>65842</v>
      </c>
      <c r="U230" s="30" t="str">
        <f>"－"</f>
        <v>－</v>
      </c>
      <c r="V230" s="30">
        <f>77151378</f>
        <v>77151378</v>
      </c>
      <c r="W230" s="30" t="str">
        <f>"－"</f>
        <v>－</v>
      </c>
      <c r="X230" s="34">
        <f>22</f>
        <v>22</v>
      </c>
    </row>
    <row r="231" spans="1:24">
      <c r="A231" s="25" t="s">
        <v>1232</v>
      </c>
      <c r="B231" s="25" t="s">
        <v>1044</v>
      </c>
      <c r="C231" s="25" t="s">
        <v>1043</v>
      </c>
      <c r="D231" s="25" t="s">
        <v>1042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966</f>
        <v>966</v>
      </c>
      <c r="L231" s="32" t="s">
        <v>1110</v>
      </c>
      <c r="M231" s="31">
        <f>979</f>
        <v>979</v>
      </c>
      <c r="N231" s="32" t="s">
        <v>1115</v>
      </c>
      <c r="O231" s="31">
        <f>935</f>
        <v>935</v>
      </c>
      <c r="P231" s="32" t="s">
        <v>1114</v>
      </c>
      <c r="Q231" s="31">
        <f>942</f>
        <v>942</v>
      </c>
      <c r="R231" s="32" t="s">
        <v>681</v>
      </c>
      <c r="S231" s="33">
        <f>954.55</f>
        <v>954.55</v>
      </c>
      <c r="T231" s="30">
        <f>489608</f>
        <v>489608</v>
      </c>
      <c r="U231" s="30" t="str">
        <f>"－"</f>
        <v>－</v>
      </c>
      <c r="V231" s="30">
        <f>467943357</f>
        <v>467943357</v>
      </c>
      <c r="W231" s="30" t="str">
        <f>"－"</f>
        <v>－</v>
      </c>
      <c r="X231" s="34">
        <f>22</f>
        <v>22</v>
      </c>
    </row>
    <row r="232" spans="1:24">
      <c r="A232" s="25" t="s">
        <v>1232</v>
      </c>
      <c r="B232" s="25" t="s">
        <v>1041</v>
      </c>
      <c r="C232" s="25" t="s">
        <v>1040</v>
      </c>
      <c r="D232" s="25" t="s">
        <v>1039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1005</f>
        <v>1005</v>
      </c>
      <c r="L232" s="32" t="s">
        <v>1110</v>
      </c>
      <c r="M232" s="31">
        <f>1005</f>
        <v>1005</v>
      </c>
      <c r="N232" s="32" t="s">
        <v>1110</v>
      </c>
      <c r="O232" s="31">
        <f>922</f>
        <v>922</v>
      </c>
      <c r="P232" s="32" t="s">
        <v>1114</v>
      </c>
      <c r="Q232" s="31">
        <f>926</f>
        <v>926</v>
      </c>
      <c r="R232" s="32" t="s">
        <v>681</v>
      </c>
      <c r="S232" s="33">
        <f>949.05</f>
        <v>949.05</v>
      </c>
      <c r="T232" s="30">
        <f>730940</f>
        <v>730940</v>
      </c>
      <c r="U232" s="30" t="str">
        <f>"－"</f>
        <v>－</v>
      </c>
      <c r="V232" s="30">
        <f>700522252</f>
        <v>700522252</v>
      </c>
      <c r="W232" s="30" t="str">
        <f>"－"</f>
        <v>－</v>
      </c>
      <c r="X232" s="34">
        <f>22</f>
        <v>22</v>
      </c>
    </row>
    <row r="233" spans="1:24">
      <c r="A233" s="25" t="s">
        <v>1232</v>
      </c>
      <c r="B233" s="25" t="s">
        <v>1038</v>
      </c>
      <c r="C233" s="25" t="s">
        <v>1037</v>
      </c>
      <c r="D233" s="25" t="s">
        <v>1036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979</f>
        <v>979</v>
      </c>
      <c r="L233" s="32" t="s">
        <v>1110</v>
      </c>
      <c r="M233" s="31">
        <f>994</f>
        <v>994</v>
      </c>
      <c r="N233" s="32" t="s">
        <v>1115</v>
      </c>
      <c r="O233" s="31">
        <f>947</f>
        <v>947</v>
      </c>
      <c r="P233" s="32" t="s">
        <v>679</v>
      </c>
      <c r="Q233" s="31">
        <f>955</f>
        <v>955</v>
      </c>
      <c r="R233" s="32" t="s">
        <v>681</v>
      </c>
      <c r="S233" s="33">
        <f>963.91</f>
        <v>963.91</v>
      </c>
      <c r="T233" s="30">
        <f>52823</f>
        <v>52823</v>
      </c>
      <c r="U233" s="30">
        <f>6</f>
        <v>6</v>
      </c>
      <c r="V233" s="30">
        <f>50800390</f>
        <v>50800390</v>
      </c>
      <c r="W233" s="30">
        <f>5768</f>
        <v>5768</v>
      </c>
      <c r="X233" s="34">
        <f>22</f>
        <v>22</v>
      </c>
    </row>
    <row r="234" spans="1:24">
      <c r="A234" s="25" t="s">
        <v>1232</v>
      </c>
      <c r="B234" s="25" t="s">
        <v>1181</v>
      </c>
      <c r="C234" s="25" t="s">
        <v>1182</v>
      </c>
      <c r="D234" s="25" t="s">
        <v>1183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1484</f>
        <v>1484</v>
      </c>
      <c r="L234" s="32" t="s">
        <v>1110</v>
      </c>
      <c r="M234" s="31">
        <f>1484</f>
        <v>1484</v>
      </c>
      <c r="N234" s="32" t="s">
        <v>1110</v>
      </c>
      <c r="O234" s="31">
        <f>1432</f>
        <v>1432</v>
      </c>
      <c r="P234" s="32" t="s">
        <v>679</v>
      </c>
      <c r="Q234" s="31">
        <f>1443</f>
        <v>1443</v>
      </c>
      <c r="R234" s="32" t="s">
        <v>681</v>
      </c>
      <c r="S234" s="33">
        <f>1454.91</f>
        <v>1454.91</v>
      </c>
      <c r="T234" s="30">
        <f>847903</f>
        <v>847903</v>
      </c>
      <c r="U234" s="30">
        <f>520030</f>
        <v>520030</v>
      </c>
      <c r="V234" s="30">
        <f>1227909435</f>
        <v>1227909435</v>
      </c>
      <c r="W234" s="30">
        <f>752628421</f>
        <v>752628421</v>
      </c>
      <c r="X234" s="34">
        <f>22</f>
        <v>22</v>
      </c>
    </row>
    <row r="235" spans="1:24">
      <c r="A235" s="25" t="s">
        <v>1232</v>
      </c>
      <c r="B235" s="25" t="s">
        <v>1200</v>
      </c>
      <c r="C235" s="25" t="s">
        <v>1199</v>
      </c>
      <c r="D235" s="25" t="s">
        <v>1198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149.7</f>
        <v>149.69999999999999</v>
      </c>
      <c r="L235" s="32" t="s">
        <v>1110</v>
      </c>
      <c r="M235" s="31">
        <f>158</f>
        <v>158</v>
      </c>
      <c r="N235" s="32" t="s">
        <v>875</v>
      </c>
      <c r="O235" s="31">
        <f>144</f>
        <v>144</v>
      </c>
      <c r="P235" s="32" t="s">
        <v>683</v>
      </c>
      <c r="Q235" s="31">
        <f>157.4</f>
        <v>157.4</v>
      </c>
      <c r="R235" s="32" t="s">
        <v>681</v>
      </c>
      <c r="S235" s="33">
        <f>150.68</f>
        <v>150.68</v>
      </c>
      <c r="T235" s="30">
        <f>4551260</f>
        <v>4551260</v>
      </c>
      <c r="U235" s="30">
        <f>202010</f>
        <v>202010</v>
      </c>
      <c r="V235" s="30">
        <f>684261584</f>
        <v>684261584</v>
      </c>
      <c r="W235" s="30">
        <f>30260162</f>
        <v>30260162</v>
      </c>
      <c r="X235" s="34">
        <f>22</f>
        <v>22</v>
      </c>
    </row>
    <row r="236" spans="1:24">
      <c r="A236" s="25" t="s">
        <v>1232</v>
      </c>
      <c r="B236" s="25" t="s">
        <v>1196</v>
      </c>
      <c r="C236" s="25" t="s">
        <v>1195</v>
      </c>
      <c r="D236" s="25" t="s">
        <v>1194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10</v>
      </c>
      <c r="K236" s="31">
        <f>421.5</f>
        <v>421.5</v>
      </c>
      <c r="L236" s="32" t="s">
        <v>1110</v>
      </c>
      <c r="M236" s="31">
        <f>450</f>
        <v>450</v>
      </c>
      <c r="N236" s="32" t="s">
        <v>875</v>
      </c>
      <c r="O236" s="31">
        <f>411</f>
        <v>411</v>
      </c>
      <c r="P236" s="32" t="s">
        <v>1116</v>
      </c>
      <c r="Q236" s="31">
        <f>445.8</f>
        <v>445.8</v>
      </c>
      <c r="R236" s="32" t="s">
        <v>681</v>
      </c>
      <c r="S236" s="33">
        <f>428.8</f>
        <v>428.8</v>
      </c>
      <c r="T236" s="30">
        <f>618360</f>
        <v>618360</v>
      </c>
      <c r="U236" s="30" t="str">
        <f>"－"</f>
        <v>－</v>
      </c>
      <c r="V236" s="30">
        <f>263639723</f>
        <v>263639723</v>
      </c>
      <c r="W236" s="30" t="str">
        <f>"－"</f>
        <v>－</v>
      </c>
      <c r="X236" s="34">
        <f>22</f>
        <v>22</v>
      </c>
    </row>
    <row r="237" spans="1:24">
      <c r="A237" s="25" t="s">
        <v>1232</v>
      </c>
      <c r="B237" s="25" t="s">
        <v>868</v>
      </c>
      <c r="C237" s="25" t="s">
        <v>869</v>
      </c>
      <c r="D237" s="25" t="s">
        <v>870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2662.5</f>
        <v>2662.5</v>
      </c>
      <c r="L237" s="32" t="s">
        <v>1110</v>
      </c>
      <c r="M237" s="31">
        <f>2846</f>
        <v>2846</v>
      </c>
      <c r="N237" s="32" t="s">
        <v>777</v>
      </c>
      <c r="O237" s="31">
        <f>2629.5</f>
        <v>2629.5</v>
      </c>
      <c r="P237" s="32" t="s">
        <v>1116</v>
      </c>
      <c r="Q237" s="31">
        <f>2807.5</f>
        <v>2807.5</v>
      </c>
      <c r="R237" s="32" t="s">
        <v>681</v>
      </c>
      <c r="S237" s="33">
        <f>2771.3</f>
        <v>2771.3</v>
      </c>
      <c r="T237" s="30">
        <f>244760</f>
        <v>244760</v>
      </c>
      <c r="U237" s="30">
        <f>74500</f>
        <v>74500</v>
      </c>
      <c r="V237" s="30">
        <f>684990362</f>
        <v>684990362</v>
      </c>
      <c r="W237" s="30">
        <f>210130192</f>
        <v>210130192</v>
      </c>
      <c r="X237" s="34">
        <f>22</f>
        <v>22</v>
      </c>
    </row>
    <row r="238" spans="1:24">
      <c r="A238" s="25" t="s">
        <v>1232</v>
      </c>
      <c r="B238" s="25" t="s">
        <v>871</v>
      </c>
      <c r="C238" s="25" t="s">
        <v>872</v>
      </c>
      <c r="D238" s="25" t="s">
        <v>873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1246</f>
        <v>1246</v>
      </c>
      <c r="L238" s="32" t="s">
        <v>1110</v>
      </c>
      <c r="M238" s="31">
        <f>1325</f>
        <v>1325</v>
      </c>
      <c r="N238" s="32" t="s">
        <v>875</v>
      </c>
      <c r="O238" s="31">
        <f>1242</f>
        <v>1242</v>
      </c>
      <c r="P238" s="32" t="s">
        <v>1116</v>
      </c>
      <c r="Q238" s="31">
        <f>1301</f>
        <v>1301</v>
      </c>
      <c r="R238" s="32" t="s">
        <v>681</v>
      </c>
      <c r="S238" s="33">
        <f>1289.86</f>
        <v>1289.8599999999999</v>
      </c>
      <c r="T238" s="30">
        <f>550628</f>
        <v>550628</v>
      </c>
      <c r="U238" s="30">
        <f>100120</f>
        <v>100120</v>
      </c>
      <c r="V238" s="30">
        <f>706529378</f>
        <v>706529378</v>
      </c>
      <c r="W238" s="30">
        <f>126713120</f>
        <v>126713120</v>
      </c>
      <c r="X238" s="34">
        <f>22</f>
        <v>22</v>
      </c>
    </row>
    <row r="239" spans="1:24">
      <c r="A239" s="25" t="s">
        <v>1232</v>
      </c>
      <c r="B239" s="25" t="s">
        <v>877</v>
      </c>
      <c r="C239" s="25" t="s">
        <v>878</v>
      </c>
      <c r="D239" s="25" t="s">
        <v>879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84570</f>
        <v>84570</v>
      </c>
      <c r="L239" s="32" t="s">
        <v>1110</v>
      </c>
      <c r="M239" s="31">
        <f>87700</f>
        <v>87700</v>
      </c>
      <c r="N239" s="32" t="s">
        <v>875</v>
      </c>
      <c r="O239" s="31">
        <f>82550</f>
        <v>82550</v>
      </c>
      <c r="P239" s="32" t="s">
        <v>1116</v>
      </c>
      <c r="Q239" s="31">
        <f>84890</f>
        <v>84890</v>
      </c>
      <c r="R239" s="32" t="s">
        <v>681</v>
      </c>
      <c r="S239" s="33">
        <f>85349.09</f>
        <v>85349.09</v>
      </c>
      <c r="T239" s="30">
        <f>23868</f>
        <v>23868</v>
      </c>
      <c r="U239" s="30" t="str">
        <f>"－"</f>
        <v>－</v>
      </c>
      <c r="V239" s="30">
        <f>2047264840</f>
        <v>2047264840</v>
      </c>
      <c r="W239" s="30" t="str">
        <f>"－"</f>
        <v>－</v>
      </c>
      <c r="X239" s="34">
        <f>22</f>
        <v>22</v>
      </c>
    </row>
    <row r="240" spans="1:24">
      <c r="A240" s="25" t="s">
        <v>1232</v>
      </c>
      <c r="B240" s="25" t="s">
        <v>880</v>
      </c>
      <c r="C240" s="25" t="s">
        <v>881</v>
      </c>
      <c r="D240" s="25" t="s">
        <v>882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6962</f>
        <v>6962</v>
      </c>
      <c r="L240" s="32" t="s">
        <v>1110</v>
      </c>
      <c r="M240" s="31">
        <f>7045</f>
        <v>7045</v>
      </c>
      <c r="N240" s="32" t="s">
        <v>1113</v>
      </c>
      <c r="O240" s="31">
        <f>6831</f>
        <v>6831</v>
      </c>
      <c r="P240" s="32" t="s">
        <v>875</v>
      </c>
      <c r="Q240" s="31">
        <f>6936</f>
        <v>6936</v>
      </c>
      <c r="R240" s="32" t="s">
        <v>681</v>
      </c>
      <c r="S240" s="33">
        <f>6924.91</f>
        <v>6924.91</v>
      </c>
      <c r="T240" s="30">
        <f>297380</f>
        <v>297380</v>
      </c>
      <c r="U240" s="30">
        <f>261009</f>
        <v>261009</v>
      </c>
      <c r="V240" s="30">
        <f>2068475809</f>
        <v>2068475809</v>
      </c>
      <c r="W240" s="30">
        <f>1816984579</f>
        <v>1816984579</v>
      </c>
      <c r="X240" s="34">
        <f>22</f>
        <v>22</v>
      </c>
    </row>
    <row r="241" spans="1:24">
      <c r="A241" s="25" t="s">
        <v>1232</v>
      </c>
      <c r="B241" s="25" t="s">
        <v>884</v>
      </c>
      <c r="C241" s="25" t="s">
        <v>885</v>
      </c>
      <c r="D241" s="25" t="s">
        <v>886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10</v>
      </c>
      <c r="K241" s="31">
        <f>18295</f>
        <v>18295</v>
      </c>
      <c r="L241" s="32" t="s">
        <v>1110</v>
      </c>
      <c r="M241" s="31">
        <f>18965</f>
        <v>18965</v>
      </c>
      <c r="N241" s="32" t="s">
        <v>1112</v>
      </c>
      <c r="O241" s="31">
        <f>17865</f>
        <v>17865</v>
      </c>
      <c r="P241" s="32" t="s">
        <v>1116</v>
      </c>
      <c r="Q241" s="31">
        <f>18380</f>
        <v>18380</v>
      </c>
      <c r="R241" s="32" t="s">
        <v>681</v>
      </c>
      <c r="S241" s="33">
        <f>18460.91</f>
        <v>18460.91</v>
      </c>
      <c r="T241" s="30">
        <f>48360</f>
        <v>48360</v>
      </c>
      <c r="U241" s="30">
        <f>10</f>
        <v>10</v>
      </c>
      <c r="V241" s="30">
        <f>895480000</f>
        <v>895480000</v>
      </c>
      <c r="W241" s="30">
        <f>182150</f>
        <v>182150</v>
      </c>
      <c r="X241" s="34">
        <f>22</f>
        <v>22</v>
      </c>
    </row>
    <row r="242" spans="1:24">
      <c r="A242" s="25" t="s">
        <v>1232</v>
      </c>
      <c r="B242" s="25" t="s">
        <v>1192</v>
      </c>
      <c r="C242" s="25" t="s">
        <v>1191</v>
      </c>
      <c r="D242" s="25" t="s">
        <v>1190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968</f>
        <v>968</v>
      </c>
      <c r="L242" s="32" t="s">
        <v>1110</v>
      </c>
      <c r="M242" s="31">
        <f>1046</f>
        <v>1046</v>
      </c>
      <c r="N242" s="32" t="s">
        <v>777</v>
      </c>
      <c r="O242" s="31">
        <f>947</f>
        <v>947</v>
      </c>
      <c r="P242" s="32" t="s">
        <v>1116</v>
      </c>
      <c r="Q242" s="31">
        <f>1028</f>
        <v>1028</v>
      </c>
      <c r="R242" s="32" t="s">
        <v>681</v>
      </c>
      <c r="S242" s="33">
        <f>1007.82</f>
        <v>1007.82</v>
      </c>
      <c r="T242" s="30">
        <f>324374</f>
        <v>324374</v>
      </c>
      <c r="U242" s="30" t="str">
        <f>"－"</f>
        <v>－</v>
      </c>
      <c r="V242" s="30">
        <f>328140975</f>
        <v>328140975</v>
      </c>
      <c r="W242" s="30" t="str">
        <f>"－"</f>
        <v>－</v>
      </c>
      <c r="X242" s="34">
        <f>22</f>
        <v>22</v>
      </c>
    </row>
    <row r="243" spans="1:24">
      <c r="A243" s="25" t="s">
        <v>1232</v>
      </c>
      <c r="B243" s="25" t="s">
        <v>887</v>
      </c>
      <c r="C243" s="25" t="s">
        <v>888</v>
      </c>
      <c r="D243" s="25" t="s">
        <v>889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7019</f>
        <v>7019</v>
      </c>
      <c r="L243" s="32" t="s">
        <v>1110</v>
      </c>
      <c r="M243" s="31">
        <f>7097</f>
        <v>7097</v>
      </c>
      <c r="N243" s="32" t="s">
        <v>1116</v>
      </c>
      <c r="O243" s="31">
        <f>6882</f>
        <v>6882</v>
      </c>
      <c r="P243" s="32" t="s">
        <v>875</v>
      </c>
      <c r="Q243" s="31">
        <f>6980</f>
        <v>6980</v>
      </c>
      <c r="R243" s="32" t="s">
        <v>681</v>
      </c>
      <c r="S243" s="33">
        <f>6975.18</f>
        <v>6975.18</v>
      </c>
      <c r="T243" s="30">
        <f>34670</f>
        <v>34670</v>
      </c>
      <c r="U243" s="30" t="str">
        <f>"－"</f>
        <v>－</v>
      </c>
      <c r="V243" s="30">
        <f>241886450</f>
        <v>241886450</v>
      </c>
      <c r="W243" s="30" t="str">
        <f>"－"</f>
        <v>－</v>
      </c>
      <c r="X243" s="34">
        <f>22</f>
        <v>22</v>
      </c>
    </row>
    <row r="244" spans="1:24">
      <c r="A244" s="25" t="s">
        <v>1232</v>
      </c>
      <c r="B244" s="25" t="s">
        <v>890</v>
      </c>
      <c r="C244" s="25" t="s">
        <v>891</v>
      </c>
      <c r="D244" s="25" t="s">
        <v>892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679.2</f>
        <v>679.2</v>
      </c>
      <c r="L244" s="32" t="s">
        <v>1110</v>
      </c>
      <c r="M244" s="31">
        <f>732.7</f>
        <v>732.7</v>
      </c>
      <c r="N244" s="32" t="s">
        <v>778</v>
      </c>
      <c r="O244" s="31">
        <f>673.5</f>
        <v>673.5</v>
      </c>
      <c r="P244" s="32" t="s">
        <v>1116</v>
      </c>
      <c r="Q244" s="31">
        <f>718.6</f>
        <v>718.6</v>
      </c>
      <c r="R244" s="32" t="s">
        <v>681</v>
      </c>
      <c r="S244" s="33">
        <f>709.94</f>
        <v>709.94</v>
      </c>
      <c r="T244" s="30">
        <f>316320</f>
        <v>316320</v>
      </c>
      <c r="U244" s="30">
        <f>100</f>
        <v>100</v>
      </c>
      <c r="V244" s="30">
        <f>223819141</f>
        <v>223819141</v>
      </c>
      <c r="W244" s="30">
        <f>72390</f>
        <v>72390</v>
      </c>
      <c r="X244" s="34">
        <f>22</f>
        <v>22</v>
      </c>
    </row>
    <row r="245" spans="1:24">
      <c r="A245" s="25" t="s">
        <v>1232</v>
      </c>
      <c r="B245" s="25" t="s">
        <v>893</v>
      </c>
      <c r="C245" s="25" t="s">
        <v>894</v>
      </c>
      <c r="D245" s="25" t="s">
        <v>895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587</f>
        <v>587</v>
      </c>
      <c r="L245" s="32" t="s">
        <v>1110</v>
      </c>
      <c r="M245" s="31">
        <f>600.5</f>
        <v>600.5</v>
      </c>
      <c r="N245" s="32" t="s">
        <v>1112</v>
      </c>
      <c r="O245" s="31">
        <f>581.2</f>
        <v>581.20000000000005</v>
      </c>
      <c r="P245" s="32" t="s">
        <v>1113</v>
      </c>
      <c r="Q245" s="31">
        <f>582</f>
        <v>582</v>
      </c>
      <c r="R245" s="32" t="s">
        <v>681</v>
      </c>
      <c r="S245" s="33">
        <f>588.71</f>
        <v>588.71</v>
      </c>
      <c r="T245" s="30">
        <f>372140</f>
        <v>372140</v>
      </c>
      <c r="U245" s="30">
        <f>40</f>
        <v>40</v>
      </c>
      <c r="V245" s="30">
        <f>219727939</f>
        <v>219727939</v>
      </c>
      <c r="W245" s="30">
        <f>23473</f>
        <v>23473</v>
      </c>
      <c r="X245" s="34">
        <f>22</f>
        <v>22</v>
      </c>
    </row>
    <row r="246" spans="1:24">
      <c r="A246" s="25" t="s">
        <v>1232</v>
      </c>
      <c r="B246" s="25" t="s">
        <v>934</v>
      </c>
      <c r="C246" s="25" t="s">
        <v>935</v>
      </c>
      <c r="D246" s="25" t="s">
        <v>936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1777</f>
        <v>1777</v>
      </c>
      <c r="L246" s="32" t="s">
        <v>1110</v>
      </c>
      <c r="M246" s="31">
        <f>1948</f>
        <v>1948</v>
      </c>
      <c r="N246" s="32" t="s">
        <v>875</v>
      </c>
      <c r="O246" s="31">
        <f>1715</f>
        <v>1715</v>
      </c>
      <c r="P246" s="32" t="s">
        <v>1116</v>
      </c>
      <c r="Q246" s="31">
        <f>1870</f>
        <v>1870</v>
      </c>
      <c r="R246" s="32" t="s">
        <v>681</v>
      </c>
      <c r="S246" s="33">
        <f>1859.91</f>
        <v>1859.91</v>
      </c>
      <c r="T246" s="30">
        <f>9526431</f>
        <v>9526431</v>
      </c>
      <c r="U246" s="30">
        <f>633331</f>
        <v>633331</v>
      </c>
      <c r="V246" s="30">
        <f>17814366642</f>
        <v>17814366642</v>
      </c>
      <c r="W246" s="30">
        <f>1202487031</f>
        <v>1202487031</v>
      </c>
      <c r="X246" s="34">
        <f>22</f>
        <v>22</v>
      </c>
    </row>
    <row r="247" spans="1:24">
      <c r="A247" s="25" t="s">
        <v>1232</v>
      </c>
      <c r="B247" s="25" t="s">
        <v>937</v>
      </c>
      <c r="C247" s="25" t="s">
        <v>938</v>
      </c>
      <c r="D247" s="25" t="s">
        <v>939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2091</f>
        <v>2091</v>
      </c>
      <c r="L247" s="32" t="s">
        <v>1110</v>
      </c>
      <c r="M247" s="31">
        <f>2288</f>
        <v>2288</v>
      </c>
      <c r="N247" s="32" t="s">
        <v>777</v>
      </c>
      <c r="O247" s="31">
        <f>2052</f>
        <v>2052</v>
      </c>
      <c r="P247" s="32" t="s">
        <v>1116</v>
      </c>
      <c r="Q247" s="31">
        <f>2230</f>
        <v>2230</v>
      </c>
      <c r="R247" s="32" t="s">
        <v>681</v>
      </c>
      <c r="S247" s="33">
        <f>2172.18</f>
        <v>2172.1799999999998</v>
      </c>
      <c r="T247" s="30">
        <f>7488981</f>
        <v>7488981</v>
      </c>
      <c r="U247" s="30">
        <f>3037</f>
        <v>3037</v>
      </c>
      <c r="V247" s="30">
        <f>16345698315</f>
        <v>16345698315</v>
      </c>
      <c r="W247" s="30">
        <f>6600379</f>
        <v>6600379</v>
      </c>
      <c r="X247" s="34">
        <f>22</f>
        <v>22</v>
      </c>
    </row>
    <row r="248" spans="1:24">
      <c r="A248" s="25" t="s">
        <v>1232</v>
      </c>
      <c r="B248" s="25" t="s">
        <v>940</v>
      </c>
      <c r="C248" s="25" t="s">
        <v>941</v>
      </c>
      <c r="D248" s="25" t="s">
        <v>942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795</f>
        <v>795</v>
      </c>
      <c r="L248" s="32" t="s">
        <v>1145</v>
      </c>
      <c r="M248" s="31">
        <f>795</f>
        <v>795</v>
      </c>
      <c r="N248" s="32" t="s">
        <v>1145</v>
      </c>
      <c r="O248" s="31">
        <f>763.3</f>
        <v>763.3</v>
      </c>
      <c r="P248" s="32" t="s">
        <v>681</v>
      </c>
      <c r="Q248" s="31">
        <f>763.3</f>
        <v>763.3</v>
      </c>
      <c r="R248" s="32" t="s">
        <v>681</v>
      </c>
      <c r="S248" s="33">
        <f>774.23</f>
        <v>774.23</v>
      </c>
      <c r="T248" s="30">
        <f>48870</f>
        <v>48870</v>
      </c>
      <c r="U248" s="30" t="str">
        <f>"－"</f>
        <v>－</v>
      </c>
      <c r="V248" s="30">
        <f>37545926</f>
        <v>37545926</v>
      </c>
      <c r="W248" s="30" t="str">
        <f>"－"</f>
        <v>－</v>
      </c>
      <c r="X248" s="34">
        <f>11</f>
        <v>11</v>
      </c>
    </row>
    <row r="249" spans="1:24">
      <c r="A249" s="25" t="s">
        <v>1232</v>
      </c>
      <c r="B249" s="25" t="s">
        <v>943</v>
      </c>
      <c r="C249" s="25" t="s">
        <v>944</v>
      </c>
      <c r="D249" s="25" t="s">
        <v>945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771.5</f>
        <v>771.5</v>
      </c>
      <c r="L249" s="32" t="s">
        <v>1115</v>
      </c>
      <c r="M249" s="31">
        <f>781.4</f>
        <v>781.4</v>
      </c>
      <c r="N249" s="32" t="s">
        <v>683</v>
      </c>
      <c r="O249" s="31">
        <f>761</f>
        <v>761</v>
      </c>
      <c r="P249" s="32" t="s">
        <v>681</v>
      </c>
      <c r="Q249" s="31">
        <f>761</f>
        <v>761</v>
      </c>
      <c r="R249" s="32" t="s">
        <v>681</v>
      </c>
      <c r="S249" s="33">
        <f>768.08</f>
        <v>768.08</v>
      </c>
      <c r="T249" s="30">
        <f>259230</f>
        <v>259230</v>
      </c>
      <c r="U249" s="30" t="str">
        <f>"－"</f>
        <v>－</v>
      </c>
      <c r="V249" s="30">
        <f>198534548</f>
        <v>198534548</v>
      </c>
      <c r="W249" s="30" t="str">
        <f>"－"</f>
        <v>－</v>
      </c>
      <c r="X249" s="34">
        <f>12</f>
        <v>12</v>
      </c>
    </row>
    <row r="250" spans="1:24">
      <c r="A250" s="25" t="s">
        <v>1232</v>
      </c>
      <c r="B250" s="25" t="s">
        <v>952</v>
      </c>
      <c r="C250" s="25" t="s">
        <v>953</v>
      </c>
      <c r="D250" s="25" t="s">
        <v>954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15595</f>
        <v>15595</v>
      </c>
      <c r="L250" s="32" t="s">
        <v>1110</v>
      </c>
      <c r="M250" s="31">
        <f>16935</f>
        <v>16935</v>
      </c>
      <c r="N250" s="32" t="s">
        <v>883</v>
      </c>
      <c r="O250" s="31">
        <f>15330</f>
        <v>15330</v>
      </c>
      <c r="P250" s="32" t="s">
        <v>1116</v>
      </c>
      <c r="Q250" s="31">
        <f>16610</f>
        <v>16610</v>
      </c>
      <c r="R250" s="32" t="s">
        <v>681</v>
      </c>
      <c r="S250" s="33">
        <f>16256.14</f>
        <v>16256.14</v>
      </c>
      <c r="T250" s="30">
        <f>198024</f>
        <v>198024</v>
      </c>
      <c r="U250" s="30">
        <f>2</f>
        <v>2</v>
      </c>
      <c r="V250" s="30">
        <f>3255050920</f>
        <v>3255050920</v>
      </c>
      <c r="W250" s="30">
        <f>33090</f>
        <v>33090</v>
      </c>
      <c r="X250" s="34">
        <f>22</f>
        <v>22</v>
      </c>
    </row>
    <row r="251" spans="1:24">
      <c r="A251" s="25" t="s">
        <v>1232</v>
      </c>
      <c r="B251" s="25" t="s">
        <v>955</v>
      </c>
      <c r="C251" s="25" t="s">
        <v>956</v>
      </c>
      <c r="D251" s="25" t="s">
        <v>957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44500</f>
        <v>44500</v>
      </c>
      <c r="L251" s="32" t="s">
        <v>1110</v>
      </c>
      <c r="M251" s="31">
        <f>45380</f>
        <v>45380</v>
      </c>
      <c r="N251" s="32" t="s">
        <v>1112</v>
      </c>
      <c r="O251" s="31">
        <f>43970</f>
        <v>43970</v>
      </c>
      <c r="P251" s="32" t="s">
        <v>1116</v>
      </c>
      <c r="Q251" s="31">
        <f>44660</f>
        <v>44660</v>
      </c>
      <c r="R251" s="32" t="s">
        <v>681</v>
      </c>
      <c r="S251" s="33">
        <f>44753.18</f>
        <v>44753.18</v>
      </c>
      <c r="T251" s="30">
        <f>124209</f>
        <v>124209</v>
      </c>
      <c r="U251" s="30">
        <f>13500</f>
        <v>13500</v>
      </c>
      <c r="V251" s="30">
        <f>5557633940</f>
        <v>5557633940</v>
      </c>
      <c r="W251" s="30">
        <f>605196900</f>
        <v>605196900</v>
      </c>
      <c r="X251" s="34">
        <f>22</f>
        <v>22</v>
      </c>
    </row>
    <row r="252" spans="1:24">
      <c r="A252" s="25" t="s">
        <v>1232</v>
      </c>
      <c r="B252" s="25" t="s">
        <v>958</v>
      </c>
      <c r="C252" s="25" t="s">
        <v>959</v>
      </c>
      <c r="D252" s="25" t="s">
        <v>960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17560</f>
        <v>17560</v>
      </c>
      <c r="L252" s="32" t="s">
        <v>1110</v>
      </c>
      <c r="M252" s="31">
        <f>18140</f>
        <v>18140</v>
      </c>
      <c r="N252" s="32" t="s">
        <v>1113</v>
      </c>
      <c r="O252" s="31">
        <f>16970</f>
        <v>16970</v>
      </c>
      <c r="P252" s="32" t="s">
        <v>875</v>
      </c>
      <c r="Q252" s="31">
        <f>17490</f>
        <v>17490</v>
      </c>
      <c r="R252" s="32" t="s">
        <v>681</v>
      </c>
      <c r="S252" s="33">
        <f>17443.41</f>
        <v>17443.41</v>
      </c>
      <c r="T252" s="30">
        <f>58539</f>
        <v>58539</v>
      </c>
      <c r="U252" s="30">
        <f>7</f>
        <v>7</v>
      </c>
      <c r="V252" s="30">
        <f>1018185740</f>
        <v>1018185740</v>
      </c>
      <c r="W252" s="30">
        <f>125000</f>
        <v>125000</v>
      </c>
      <c r="X252" s="34">
        <f>22</f>
        <v>22</v>
      </c>
    </row>
    <row r="253" spans="1:24">
      <c r="A253" s="25" t="s">
        <v>1232</v>
      </c>
      <c r="B253" s="25" t="s">
        <v>1189</v>
      </c>
      <c r="C253" s="25" t="s">
        <v>1188</v>
      </c>
      <c r="D253" s="25" t="s">
        <v>1187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</v>
      </c>
      <c r="K253" s="31">
        <f>955</f>
        <v>955</v>
      </c>
      <c r="L253" s="32" t="s">
        <v>1110</v>
      </c>
      <c r="M253" s="31">
        <f>1173</f>
        <v>1173</v>
      </c>
      <c r="N253" s="32" t="s">
        <v>678</v>
      </c>
      <c r="O253" s="31">
        <f>920</f>
        <v>920</v>
      </c>
      <c r="P253" s="32" t="s">
        <v>1110</v>
      </c>
      <c r="Q253" s="31">
        <f>1083</f>
        <v>1083</v>
      </c>
      <c r="R253" s="32" t="s">
        <v>681</v>
      </c>
      <c r="S253" s="33">
        <f>1052</f>
        <v>1052</v>
      </c>
      <c r="T253" s="30">
        <f>318574</f>
        <v>318574</v>
      </c>
      <c r="U253" s="30">
        <f>1</f>
        <v>1</v>
      </c>
      <c r="V253" s="30">
        <f>346213886</f>
        <v>346213886</v>
      </c>
      <c r="W253" s="30">
        <f>1020</f>
        <v>1020</v>
      </c>
      <c r="X253" s="34">
        <f>22</f>
        <v>22</v>
      </c>
    </row>
    <row r="254" spans="1:24">
      <c r="A254" s="25" t="s">
        <v>1232</v>
      </c>
      <c r="B254" s="25" t="s">
        <v>961</v>
      </c>
      <c r="C254" s="25" t="s">
        <v>962</v>
      </c>
      <c r="D254" s="25" t="s">
        <v>963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236.8</f>
        <v>236.8</v>
      </c>
      <c r="L254" s="32" t="s">
        <v>1110</v>
      </c>
      <c r="M254" s="31">
        <f>249.9</f>
        <v>249.9</v>
      </c>
      <c r="N254" s="32" t="s">
        <v>759</v>
      </c>
      <c r="O254" s="31">
        <f>234.6</f>
        <v>234.6</v>
      </c>
      <c r="P254" s="32" t="s">
        <v>1114</v>
      </c>
      <c r="Q254" s="31">
        <f>242.6</f>
        <v>242.6</v>
      </c>
      <c r="R254" s="32" t="s">
        <v>681</v>
      </c>
      <c r="S254" s="33">
        <f>240.85</f>
        <v>240.85</v>
      </c>
      <c r="T254" s="30">
        <f>22680</f>
        <v>22680</v>
      </c>
      <c r="U254" s="30" t="str">
        <f>"－"</f>
        <v>－</v>
      </c>
      <c r="V254" s="30">
        <f>5419131</f>
        <v>5419131</v>
      </c>
      <c r="W254" s="30" t="str">
        <f>"－"</f>
        <v>－</v>
      </c>
      <c r="X254" s="34">
        <f>22</f>
        <v>22</v>
      </c>
    </row>
    <row r="255" spans="1:24">
      <c r="A255" s="25" t="s">
        <v>1232</v>
      </c>
      <c r="B255" s="25" t="s">
        <v>964</v>
      </c>
      <c r="C255" s="25" t="s">
        <v>965</v>
      </c>
      <c r="D255" s="25" t="s">
        <v>966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747</f>
        <v>747</v>
      </c>
      <c r="L255" s="32" t="s">
        <v>1110</v>
      </c>
      <c r="M255" s="31">
        <f>774.9</f>
        <v>774.9</v>
      </c>
      <c r="N255" s="32" t="s">
        <v>1114</v>
      </c>
      <c r="O255" s="31">
        <f>729.9</f>
        <v>729.9</v>
      </c>
      <c r="P255" s="32" t="s">
        <v>1114</v>
      </c>
      <c r="Q255" s="31">
        <f>751.9</f>
        <v>751.9</v>
      </c>
      <c r="R255" s="32" t="s">
        <v>681</v>
      </c>
      <c r="S255" s="33">
        <f>752.31</f>
        <v>752.31</v>
      </c>
      <c r="T255" s="30">
        <f>2667410</f>
        <v>2667410</v>
      </c>
      <c r="U255" s="30">
        <f>1257600</f>
        <v>1257600</v>
      </c>
      <c r="V255" s="30">
        <f>2008732133</f>
        <v>2008732133</v>
      </c>
      <c r="W255" s="30">
        <f>948518812</f>
        <v>948518812</v>
      </c>
      <c r="X255" s="34">
        <f>22</f>
        <v>22</v>
      </c>
    </row>
    <row r="256" spans="1:24">
      <c r="A256" s="25" t="s">
        <v>1232</v>
      </c>
      <c r="B256" s="25" t="s">
        <v>982</v>
      </c>
      <c r="C256" s="25" t="s">
        <v>983</v>
      </c>
      <c r="D256" s="25" t="s">
        <v>984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</v>
      </c>
      <c r="K256" s="31">
        <f>1151</f>
        <v>1151</v>
      </c>
      <c r="L256" s="32" t="s">
        <v>1110</v>
      </c>
      <c r="M256" s="31">
        <f>1245</f>
        <v>1245</v>
      </c>
      <c r="N256" s="32" t="s">
        <v>883</v>
      </c>
      <c r="O256" s="31">
        <f>1135</f>
        <v>1135</v>
      </c>
      <c r="P256" s="32" t="s">
        <v>1116</v>
      </c>
      <c r="Q256" s="31">
        <f>1230</f>
        <v>1230</v>
      </c>
      <c r="R256" s="32" t="s">
        <v>681</v>
      </c>
      <c r="S256" s="33">
        <f>1198</f>
        <v>1198</v>
      </c>
      <c r="T256" s="30">
        <f>375261</f>
        <v>375261</v>
      </c>
      <c r="U256" s="30" t="str">
        <f>"－"</f>
        <v>－</v>
      </c>
      <c r="V256" s="30">
        <f>455386397</f>
        <v>455386397</v>
      </c>
      <c r="W256" s="30" t="str">
        <f>"－"</f>
        <v>－</v>
      </c>
      <c r="X256" s="34">
        <f>22</f>
        <v>22</v>
      </c>
    </row>
    <row r="257" spans="1:24">
      <c r="A257" s="25" t="s">
        <v>1232</v>
      </c>
      <c r="B257" s="25" t="s">
        <v>985</v>
      </c>
      <c r="C257" s="25" t="s">
        <v>986</v>
      </c>
      <c r="D257" s="25" t="s">
        <v>987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1143</f>
        <v>1143</v>
      </c>
      <c r="L257" s="32" t="s">
        <v>1110</v>
      </c>
      <c r="M257" s="31">
        <f>1220</f>
        <v>1220</v>
      </c>
      <c r="N257" s="32" t="s">
        <v>883</v>
      </c>
      <c r="O257" s="31">
        <f>1141</f>
        <v>1141</v>
      </c>
      <c r="P257" s="32" t="s">
        <v>1110</v>
      </c>
      <c r="Q257" s="31">
        <f>1215</f>
        <v>1215</v>
      </c>
      <c r="R257" s="32" t="s">
        <v>681</v>
      </c>
      <c r="S257" s="33">
        <f>1188.09</f>
        <v>1188.0899999999999</v>
      </c>
      <c r="T257" s="30">
        <f>209926</f>
        <v>209926</v>
      </c>
      <c r="U257" s="30" t="str">
        <f>"－"</f>
        <v>－</v>
      </c>
      <c r="V257" s="30">
        <f>252637545</f>
        <v>252637545</v>
      </c>
      <c r="W257" s="30" t="str">
        <f>"－"</f>
        <v>－</v>
      </c>
      <c r="X257" s="34">
        <f>22</f>
        <v>22</v>
      </c>
    </row>
    <row r="258" spans="1:24">
      <c r="A258" s="25" t="s">
        <v>1232</v>
      </c>
      <c r="B258" s="25" t="s">
        <v>988</v>
      </c>
      <c r="C258" s="25" t="s">
        <v>989</v>
      </c>
      <c r="D258" s="25" t="s">
        <v>990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</v>
      </c>
      <c r="K258" s="31">
        <f>901</f>
        <v>901</v>
      </c>
      <c r="L258" s="32" t="s">
        <v>1110</v>
      </c>
      <c r="M258" s="31">
        <f>1322</f>
        <v>1322</v>
      </c>
      <c r="N258" s="32" t="s">
        <v>675</v>
      </c>
      <c r="O258" s="31">
        <f>817</f>
        <v>817</v>
      </c>
      <c r="P258" s="32" t="s">
        <v>678</v>
      </c>
      <c r="Q258" s="31">
        <f>904</f>
        <v>904</v>
      </c>
      <c r="R258" s="32" t="s">
        <v>681</v>
      </c>
      <c r="S258" s="33">
        <f>924.09</f>
        <v>924.09</v>
      </c>
      <c r="T258" s="30">
        <f>4247937</f>
        <v>4247937</v>
      </c>
      <c r="U258" s="30">
        <f>1</f>
        <v>1</v>
      </c>
      <c r="V258" s="30">
        <f>4120880895</f>
        <v>4120880895</v>
      </c>
      <c r="W258" s="30">
        <f>881</f>
        <v>881</v>
      </c>
      <c r="X258" s="34">
        <f>22</f>
        <v>22</v>
      </c>
    </row>
    <row r="259" spans="1:24">
      <c r="A259" s="25" t="s">
        <v>1232</v>
      </c>
      <c r="B259" s="25" t="s">
        <v>1059</v>
      </c>
      <c r="C259" s="25" t="s">
        <v>1060</v>
      </c>
      <c r="D259" s="25" t="s">
        <v>1061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214.3</f>
        <v>214.3</v>
      </c>
      <c r="L259" s="32" t="s">
        <v>1110</v>
      </c>
      <c r="M259" s="31">
        <f>218.6</f>
        <v>218.6</v>
      </c>
      <c r="N259" s="32" t="s">
        <v>1145</v>
      </c>
      <c r="O259" s="31">
        <f>209</f>
        <v>209</v>
      </c>
      <c r="P259" s="32" t="s">
        <v>874</v>
      </c>
      <c r="Q259" s="31">
        <f>213.7</f>
        <v>213.7</v>
      </c>
      <c r="R259" s="32" t="s">
        <v>681</v>
      </c>
      <c r="S259" s="33">
        <f>213.57</f>
        <v>213.57</v>
      </c>
      <c r="T259" s="30">
        <f>11333380</f>
        <v>11333380</v>
      </c>
      <c r="U259" s="30">
        <f>35940</f>
        <v>35940</v>
      </c>
      <c r="V259" s="30">
        <f>2416205794</f>
        <v>2416205794</v>
      </c>
      <c r="W259" s="30">
        <f>7704296</f>
        <v>7704296</v>
      </c>
      <c r="X259" s="34">
        <f>22</f>
        <v>22</v>
      </c>
    </row>
    <row r="260" spans="1:24">
      <c r="A260" s="25" t="s">
        <v>1232</v>
      </c>
      <c r="B260" s="25" t="s">
        <v>1062</v>
      </c>
      <c r="C260" s="25" t="s">
        <v>1063</v>
      </c>
      <c r="D260" s="25" t="s">
        <v>1064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207.8</f>
        <v>207.8</v>
      </c>
      <c r="L260" s="32" t="s">
        <v>1110</v>
      </c>
      <c r="M260" s="31">
        <f>214.5</f>
        <v>214.5</v>
      </c>
      <c r="N260" s="32" t="s">
        <v>777</v>
      </c>
      <c r="O260" s="31">
        <f>207.2</f>
        <v>207.2</v>
      </c>
      <c r="P260" s="32" t="s">
        <v>1110</v>
      </c>
      <c r="Q260" s="31">
        <f>213.1</f>
        <v>213.1</v>
      </c>
      <c r="R260" s="32" t="s">
        <v>681</v>
      </c>
      <c r="S260" s="33">
        <f>211.28</f>
        <v>211.28</v>
      </c>
      <c r="T260" s="30">
        <f>591250</f>
        <v>591250</v>
      </c>
      <c r="U260" s="30">
        <f>410</f>
        <v>410</v>
      </c>
      <c r="V260" s="30">
        <f>124894563</f>
        <v>124894563</v>
      </c>
      <c r="W260" s="30">
        <f>86084</f>
        <v>86084</v>
      </c>
      <c r="X260" s="34">
        <f>22</f>
        <v>22</v>
      </c>
    </row>
    <row r="261" spans="1:24">
      <c r="A261" s="25" t="s">
        <v>1232</v>
      </c>
      <c r="B261" s="25" t="s">
        <v>1065</v>
      </c>
      <c r="C261" s="25" t="s">
        <v>1066</v>
      </c>
      <c r="D261" s="25" t="s">
        <v>1067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210.9</f>
        <v>210.9</v>
      </c>
      <c r="L261" s="32" t="s">
        <v>1110</v>
      </c>
      <c r="M261" s="31">
        <f>216.3</f>
        <v>216.3</v>
      </c>
      <c r="N261" s="32" t="s">
        <v>675</v>
      </c>
      <c r="O261" s="31">
        <f>208.9</f>
        <v>208.9</v>
      </c>
      <c r="P261" s="32" t="s">
        <v>1110</v>
      </c>
      <c r="Q261" s="31">
        <f>214.8</f>
        <v>214.8</v>
      </c>
      <c r="R261" s="32" t="s">
        <v>681</v>
      </c>
      <c r="S261" s="33">
        <f>212.94</f>
        <v>212.94</v>
      </c>
      <c r="T261" s="30">
        <f>260830</f>
        <v>260830</v>
      </c>
      <c r="U261" s="30">
        <f>410</f>
        <v>410</v>
      </c>
      <c r="V261" s="30">
        <f>55518731</f>
        <v>55518731</v>
      </c>
      <c r="W261" s="30">
        <f>84411</f>
        <v>84411</v>
      </c>
      <c r="X261" s="34">
        <f>22</f>
        <v>22</v>
      </c>
    </row>
    <row r="262" spans="1:24">
      <c r="A262" s="25" t="s">
        <v>1232</v>
      </c>
      <c r="B262" s="25" t="s">
        <v>1068</v>
      </c>
      <c r="C262" s="25" t="s">
        <v>1069</v>
      </c>
      <c r="D262" s="25" t="s">
        <v>1070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209.1</f>
        <v>209.1</v>
      </c>
      <c r="L262" s="32" t="s">
        <v>1110</v>
      </c>
      <c r="M262" s="31">
        <f>219.3</f>
        <v>219.3</v>
      </c>
      <c r="N262" s="32" t="s">
        <v>681</v>
      </c>
      <c r="O262" s="31">
        <f>204.1</f>
        <v>204.1</v>
      </c>
      <c r="P262" s="32" t="s">
        <v>1116</v>
      </c>
      <c r="Q262" s="31">
        <f>217.2</f>
        <v>217.2</v>
      </c>
      <c r="R262" s="32" t="s">
        <v>681</v>
      </c>
      <c r="S262" s="33">
        <f>214.03</f>
        <v>214.03</v>
      </c>
      <c r="T262" s="30">
        <f>551850</f>
        <v>551850</v>
      </c>
      <c r="U262" s="30">
        <f>70</f>
        <v>70</v>
      </c>
      <c r="V262" s="30">
        <f>118022154</f>
        <v>118022154</v>
      </c>
      <c r="W262" s="30">
        <f>14987</f>
        <v>14987</v>
      </c>
      <c r="X262" s="34">
        <f>22</f>
        <v>22</v>
      </c>
    </row>
    <row r="263" spans="1:24">
      <c r="A263" s="25" t="s">
        <v>1232</v>
      </c>
      <c r="B263" s="25" t="s">
        <v>1071</v>
      </c>
      <c r="C263" s="25" t="s">
        <v>1072</v>
      </c>
      <c r="D263" s="25" t="s">
        <v>1073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202.1</f>
        <v>202.1</v>
      </c>
      <c r="L263" s="32" t="s">
        <v>1110</v>
      </c>
      <c r="M263" s="31">
        <f>205.9</f>
        <v>205.9</v>
      </c>
      <c r="N263" s="32" t="s">
        <v>1145</v>
      </c>
      <c r="O263" s="31">
        <f>195.9</f>
        <v>195.9</v>
      </c>
      <c r="P263" s="32" t="s">
        <v>681</v>
      </c>
      <c r="Q263" s="31">
        <f>196</f>
        <v>196</v>
      </c>
      <c r="R263" s="32" t="s">
        <v>681</v>
      </c>
      <c r="S263" s="33">
        <f>199.15</f>
        <v>199.15</v>
      </c>
      <c r="T263" s="30">
        <f>1311760</f>
        <v>1311760</v>
      </c>
      <c r="U263" s="30">
        <f>394230</f>
        <v>394230</v>
      </c>
      <c r="V263" s="30">
        <f>259689761</f>
        <v>259689761</v>
      </c>
      <c r="W263" s="30">
        <f>78279513</f>
        <v>78279513</v>
      </c>
      <c r="X263" s="34">
        <f>22</f>
        <v>22</v>
      </c>
    </row>
    <row r="264" spans="1:24">
      <c r="A264" s="25" t="s">
        <v>1232</v>
      </c>
      <c r="B264" s="25" t="s">
        <v>1203</v>
      </c>
      <c r="C264" s="25" t="s">
        <v>1204</v>
      </c>
      <c r="D264" s="25" t="s">
        <v>1205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2114</f>
        <v>2114</v>
      </c>
      <c r="L264" s="32" t="s">
        <v>1110</v>
      </c>
      <c r="M264" s="31">
        <f>2122</f>
        <v>2122</v>
      </c>
      <c r="N264" s="32" t="s">
        <v>1145</v>
      </c>
      <c r="O264" s="31">
        <f>2040</f>
        <v>2040</v>
      </c>
      <c r="P264" s="32" t="s">
        <v>679</v>
      </c>
      <c r="Q264" s="31">
        <f>2078</f>
        <v>2078</v>
      </c>
      <c r="R264" s="32" t="s">
        <v>681</v>
      </c>
      <c r="S264" s="33">
        <f>2081.09</f>
        <v>2081.09</v>
      </c>
      <c r="T264" s="30">
        <f>1358518</f>
        <v>1358518</v>
      </c>
      <c r="U264" s="30">
        <f>238335</f>
        <v>238335</v>
      </c>
      <c r="V264" s="30">
        <f>2829185923</f>
        <v>2829185923</v>
      </c>
      <c r="W264" s="30">
        <f>499341209</f>
        <v>499341209</v>
      </c>
      <c r="X264" s="34">
        <f>22</f>
        <v>22</v>
      </c>
    </row>
    <row r="265" spans="1:24">
      <c r="A265" s="25" t="s">
        <v>1232</v>
      </c>
      <c r="B265" s="25" t="s">
        <v>1207</v>
      </c>
      <c r="C265" s="25" t="s">
        <v>1208</v>
      </c>
      <c r="D265" s="25" t="s">
        <v>1209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1069</f>
        <v>1069</v>
      </c>
      <c r="L265" s="32" t="s">
        <v>1110</v>
      </c>
      <c r="M265" s="31">
        <f>1069</f>
        <v>1069</v>
      </c>
      <c r="N265" s="32" t="s">
        <v>1110</v>
      </c>
      <c r="O265" s="31">
        <f>994</f>
        <v>994</v>
      </c>
      <c r="P265" s="32" t="s">
        <v>679</v>
      </c>
      <c r="Q265" s="31">
        <f>1038</f>
        <v>1038</v>
      </c>
      <c r="R265" s="32" t="s">
        <v>681</v>
      </c>
      <c r="S265" s="33">
        <f>1025.36</f>
        <v>1025.3599999999999</v>
      </c>
      <c r="T265" s="30">
        <f>1001336</f>
        <v>1001336</v>
      </c>
      <c r="U265" s="30">
        <f>700000</f>
        <v>700000</v>
      </c>
      <c r="V265" s="30">
        <f>1035372272</f>
        <v>1035372272</v>
      </c>
      <c r="W265" s="30">
        <f>724841570</f>
        <v>724841570</v>
      </c>
      <c r="X265" s="34">
        <f>22</f>
        <v>22</v>
      </c>
    </row>
    <row r="266" spans="1:24">
      <c r="A266" s="25" t="s">
        <v>1232</v>
      </c>
      <c r="B266" s="25" t="s">
        <v>1211</v>
      </c>
      <c r="C266" s="25" t="s">
        <v>1212</v>
      </c>
      <c r="D266" s="25" t="s">
        <v>1213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</v>
      </c>
      <c r="K266" s="31">
        <f>1009</f>
        <v>1009</v>
      </c>
      <c r="L266" s="32" t="s">
        <v>1110</v>
      </c>
      <c r="M266" s="31">
        <f>1033</f>
        <v>1033</v>
      </c>
      <c r="N266" s="32" t="s">
        <v>1115</v>
      </c>
      <c r="O266" s="31">
        <f>985</f>
        <v>985</v>
      </c>
      <c r="P266" s="32" t="s">
        <v>1114</v>
      </c>
      <c r="Q266" s="31">
        <f>1019</f>
        <v>1019</v>
      </c>
      <c r="R266" s="32" t="s">
        <v>681</v>
      </c>
      <c r="S266" s="33">
        <f>1011.55</f>
        <v>1011.55</v>
      </c>
      <c r="T266" s="30">
        <f>504204</f>
        <v>504204</v>
      </c>
      <c r="U266" s="30">
        <f>10</f>
        <v>10</v>
      </c>
      <c r="V266" s="30">
        <f>510052410</f>
        <v>510052410</v>
      </c>
      <c r="W266" s="30">
        <f>10140</f>
        <v>10140</v>
      </c>
      <c r="X266" s="34">
        <f>22</f>
        <v>22</v>
      </c>
    </row>
    <row r="267" spans="1:24">
      <c r="A267" s="25" t="s">
        <v>1232</v>
      </c>
      <c r="B267" s="25" t="s">
        <v>1214</v>
      </c>
      <c r="C267" s="25" t="s">
        <v>1215</v>
      </c>
      <c r="D267" s="25" t="s">
        <v>1216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500</f>
        <v>500</v>
      </c>
      <c r="L267" s="32" t="s">
        <v>1110</v>
      </c>
      <c r="M267" s="31">
        <f>512.3</f>
        <v>512.29999999999995</v>
      </c>
      <c r="N267" s="32" t="s">
        <v>1115</v>
      </c>
      <c r="O267" s="31">
        <f>498</f>
        <v>498</v>
      </c>
      <c r="P267" s="32" t="s">
        <v>874</v>
      </c>
      <c r="Q267" s="31">
        <f>499.8</f>
        <v>499.8</v>
      </c>
      <c r="R267" s="32" t="s">
        <v>681</v>
      </c>
      <c r="S267" s="33">
        <f>499.82</f>
        <v>499.82</v>
      </c>
      <c r="T267" s="30">
        <f>94440</f>
        <v>94440</v>
      </c>
      <c r="U267" s="30" t="str">
        <f>"－"</f>
        <v>－</v>
      </c>
      <c r="V267" s="30">
        <f>47073242</f>
        <v>47073242</v>
      </c>
      <c r="W267" s="30" t="str">
        <f>"－"</f>
        <v>－</v>
      </c>
      <c r="X267" s="34">
        <f>22</f>
        <v>22</v>
      </c>
    </row>
    <row r="268" spans="1:24">
      <c r="A268" s="25" t="s">
        <v>1232</v>
      </c>
      <c r="B268" s="25" t="s">
        <v>1218</v>
      </c>
      <c r="C268" s="25" t="s">
        <v>1219</v>
      </c>
      <c r="D268" s="25" t="s">
        <v>1220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199.5</f>
        <v>199.5</v>
      </c>
      <c r="L268" s="32" t="s">
        <v>1110</v>
      </c>
      <c r="M268" s="31">
        <f>209.5</f>
        <v>209.5</v>
      </c>
      <c r="N268" s="32" t="s">
        <v>1145</v>
      </c>
      <c r="O268" s="31">
        <f>188.4</f>
        <v>188.4</v>
      </c>
      <c r="P268" s="32" t="s">
        <v>874</v>
      </c>
      <c r="Q268" s="31">
        <f>195</f>
        <v>195</v>
      </c>
      <c r="R268" s="32" t="s">
        <v>681</v>
      </c>
      <c r="S268" s="33">
        <f>195.44</f>
        <v>195.44</v>
      </c>
      <c r="T268" s="30">
        <f>3098740</f>
        <v>3098740</v>
      </c>
      <c r="U268" s="30" t="str">
        <f>"－"</f>
        <v>－</v>
      </c>
      <c r="V268" s="30">
        <f>597746991</f>
        <v>597746991</v>
      </c>
      <c r="W268" s="30" t="str">
        <f>"－"</f>
        <v>－</v>
      </c>
      <c r="X268" s="34">
        <f>22</f>
        <v>22</v>
      </c>
    </row>
    <row r="269" spans="1:24">
      <c r="A269" s="25" t="s">
        <v>1232</v>
      </c>
      <c r="B269" s="25" t="s">
        <v>1221</v>
      </c>
      <c r="C269" s="25" t="s">
        <v>1222</v>
      </c>
      <c r="D269" s="25" t="s">
        <v>1223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199.9</f>
        <v>199.9</v>
      </c>
      <c r="L269" s="32" t="s">
        <v>1110</v>
      </c>
      <c r="M269" s="31">
        <f>201</f>
        <v>201</v>
      </c>
      <c r="N269" s="32" t="s">
        <v>1116</v>
      </c>
      <c r="O269" s="31">
        <f>176.3</f>
        <v>176.3</v>
      </c>
      <c r="P269" s="32" t="s">
        <v>1114</v>
      </c>
      <c r="Q269" s="31">
        <f>180.8</f>
        <v>180.8</v>
      </c>
      <c r="R269" s="32" t="s">
        <v>681</v>
      </c>
      <c r="S269" s="33">
        <f>185.94</f>
        <v>185.94</v>
      </c>
      <c r="T269" s="30">
        <f>4619540</f>
        <v>4619540</v>
      </c>
      <c r="U269" s="30">
        <f>30</f>
        <v>30</v>
      </c>
      <c r="V269" s="30">
        <f>857273132</f>
        <v>857273132</v>
      </c>
      <c r="W269" s="30">
        <f>5244</f>
        <v>5244</v>
      </c>
      <c r="X269" s="34">
        <f>22</f>
        <v>22</v>
      </c>
    </row>
    <row r="270" spans="1:24">
      <c r="A270" s="25" t="s">
        <v>1232</v>
      </c>
      <c r="B270" s="25" t="s">
        <v>539</v>
      </c>
      <c r="C270" s="25" t="s">
        <v>540</v>
      </c>
      <c r="D270" s="25" t="s">
        <v>541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914.9</f>
        <v>914.9</v>
      </c>
      <c r="L270" s="32" t="s">
        <v>1110</v>
      </c>
      <c r="M270" s="31">
        <f>916.7</f>
        <v>916.7</v>
      </c>
      <c r="N270" s="32" t="s">
        <v>1116</v>
      </c>
      <c r="O270" s="31">
        <f>904.7</f>
        <v>904.7</v>
      </c>
      <c r="P270" s="32" t="s">
        <v>684</v>
      </c>
      <c r="Q270" s="31">
        <f>907.5</f>
        <v>907.5</v>
      </c>
      <c r="R270" s="32" t="s">
        <v>681</v>
      </c>
      <c r="S270" s="33">
        <f>909.73</f>
        <v>909.73</v>
      </c>
      <c r="T270" s="30">
        <f>7470660</f>
        <v>7470660</v>
      </c>
      <c r="U270" s="30">
        <f>6506790</f>
        <v>6506790</v>
      </c>
      <c r="V270" s="30">
        <f>6789093822</f>
        <v>6789093822</v>
      </c>
      <c r="W270" s="30">
        <f>5911794297</f>
        <v>5911794297</v>
      </c>
      <c r="X270" s="34">
        <f>22</f>
        <v>22</v>
      </c>
    </row>
    <row r="271" spans="1:24">
      <c r="A271" s="25" t="s">
        <v>1232</v>
      </c>
      <c r="B271" s="25" t="s">
        <v>542</v>
      </c>
      <c r="C271" s="25" t="s">
        <v>543</v>
      </c>
      <c r="D271" s="25" t="s">
        <v>544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1071</f>
        <v>1071</v>
      </c>
      <c r="L271" s="32" t="s">
        <v>1110</v>
      </c>
      <c r="M271" s="31">
        <f>1110.5</f>
        <v>1110.5</v>
      </c>
      <c r="N271" s="32" t="s">
        <v>1114</v>
      </c>
      <c r="O271" s="31">
        <f>1066.5</f>
        <v>1066.5</v>
      </c>
      <c r="P271" s="32" t="s">
        <v>1110</v>
      </c>
      <c r="Q271" s="31">
        <f>1105</f>
        <v>1105</v>
      </c>
      <c r="R271" s="32" t="s">
        <v>681</v>
      </c>
      <c r="S271" s="33">
        <f>1092.27</f>
        <v>1092.27</v>
      </c>
      <c r="T271" s="30">
        <f>2077770</f>
        <v>2077770</v>
      </c>
      <c r="U271" s="30">
        <f>685230</f>
        <v>685230</v>
      </c>
      <c r="V271" s="30">
        <f>2263442270</f>
        <v>2263442270</v>
      </c>
      <c r="W271" s="30">
        <f>745364320</f>
        <v>745364320</v>
      </c>
      <c r="X271" s="34">
        <f>22</f>
        <v>22</v>
      </c>
    </row>
    <row r="272" spans="1:24">
      <c r="A272" s="25" t="s">
        <v>1232</v>
      </c>
      <c r="B272" s="25" t="s">
        <v>545</v>
      </c>
      <c r="C272" s="25" t="s">
        <v>546</v>
      </c>
      <c r="D272" s="25" t="s">
        <v>547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790</f>
        <v>790</v>
      </c>
      <c r="L272" s="32" t="s">
        <v>1110</v>
      </c>
      <c r="M272" s="31">
        <f>795</f>
        <v>795</v>
      </c>
      <c r="N272" s="32" t="s">
        <v>1145</v>
      </c>
      <c r="O272" s="31">
        <f>769.2</f>
        <v>769.2</v>
      </c>
      <c r="P272" s="32" t="s">
        <v>681</v>
      </c>
      <c r="Q272" s="31">
        <f>771.1</f>
        <v>771.1</v>
      </c>
      <c r="R272" s="32" t="s">
        <v>681</v>
      </c>
      <c r="S272" s="33">
        <f>780.22</f>
        <v>780.22</v>
      </c>
      <c r="T272" s="30">
        <f>7879750</f>
        <v>7879750</v>
      </c>
      <c r="U272" s="30">
        <f>7162800</f>
        <v>7162800</v>
      </c>
      <c r="V272" s="30">
        <f>6129832415</f>
        <v>6129832415</v>
      </c>
      <c r="W272" s="30">
        <f>5565992485</f>
        <v>5565992485</v>
      </c>
      <c r="X272" s="34">
        <f>22</f>
        <v>22</v>
      </c>
    </row>
    <row r="273" spans="1:24">
      <c r="A273" s="25" t="s">
        <v>1232</v>
      </c>
      <c r="B273" s="25" t="s">
        <v>548</v>
      </c>
      <c r="C273" s="25" t="s">
        <v>549</v>
      </c>
      <c r="D273" s="25" t="s">
        <v>550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2434</f>
        <v>2434</v>
      </c>
      <c r="L273" s="32" t="s">
        <v>1110</v>
      </c>
      <c r="M273" s="31">
        <f>2628</f>
        <v>2628</v>
      </c>
      <c r="N273" s="32" t="s">
        <v>1114</v>
      </c>
      <c r="O273" s="31">
        <f>2417.5</f>
        <v>2417.5</v>
      </c>
      <c r="P273" s="32" t="s">
        <v>1116</v>
      </c>
      <c r="Q273" s="31">
        <f>2590.5</f>
        <v>2590.5</v>
      </c>
      <c r="R273" s="32" t="s">
        <v>681</v>
      </c>
      <c r="S273" s="33">
        <f>2545.48</f>
        <v>2545.48</v>
      </c>
      <c r="T273" s="30">
        <f>1346490</f>
        <v>1346490</v>
      </c>
      <c r="U273" s="30">
        <f>682500</f>
        <v>682500</v>
      </c>
      <c r="V273" s="30">
        <f>3451152679</f>
        <v>3451152679</v>
      </c>
      <c r="W273" s="30">
        <f>1772830444</f>
        <v>1772830444</v>
      </c>
      <c r="X273" s="34">
        <f>22</f>
        <v>22</v>
      </c>
    </row>
    <row r="274" spans="1:24">
      <c r="A274" s="25" t="s">
        <v>1232</v>
      </c>
      <c r="B274" s="25" t="s">
        <v>551</v>
      </c>
      <c r="C274" s="25" t="s">
        <v>552</v>
      </c>
      <c r="D274" s="25" t="s">
        <v>553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1635</f>
        <v>1635</v>
      </c>
      <c r="L274" s="32" t="s">
        <v>1110</v>
      </c>
      <c r="M274" s="31">
        <f>1674.5</f>
        <v>1674.5</v>
      </c>
      <c r="N274" s="32" t="s">
        <v>1112</v>
      </c>
      <c r="O274" s="31">
        <f>1621.5</f>
        <v>1621.5</v>
      </c>
      <c r="P274" s="32" t="s">
        <v>675</v>
      </c>
      <c r="Q274" s="31">
        <f>1637.5</f>
        <v>1637.5</v>
      </c>
      <c r="R274" s="32" t="s">
        <v>681</v>
      </c>
      <c r="S274" s="33">
        <f>1645.68</f>
        <v>1645.68</v>
      </c>
      <c r="T274" s="30">
        <f>533700</f>
        <v>533700</v>
      </c>
      <c r="U274" s="30">
        <f>407330</f>
        <v>407330</v>
      </c>
      <c r="V274" s="30">
        <f>878400542</f>
        <v>878400542</v>
      </c>
      <c r="W274" s="30">
        <f>670668422</f>
        <v>670668422</v>
      </c>
      <c r="X274" s="34">
        <f>22</f>
        <v>22</v>
      </c>
    </row>
    <row r="275" spans="1:24">
      <c r="A275" s="25" t="s">
        <v>1232</v>
      </c>
      <c r="B275" s="25" t="s">
        <v>554</v>
      </c>
      <c r="C275" s="25" t="s">
        <v>555</v>
      </c>
      <c r="D275" s="25" t="s">
        <v>556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1466</f>
        <v>1466</v>
      </c>
      <c r="L275" s="32" t="s">
        <v>1110</v>
      </c>
      <c r="M275" s="31">
        <f>1540</f>
        <v>1540</v>
      </c>
      <c r="N275" s="32" t="s">
        <v>683</v>
      </c>
      <c r="O275" s="31">
        <f>1449</f>
        <v>1449</v>
      </c>
      <c r="P275" s="32" t="s">
        <v>1116</v>
      </c>
      <c r="Q275" s="31">
        <f>1520</f>
        <v>1520</v>
      </c>
      <c r="R275" s="32" t="s">
        <v>681</v>
      </c>
      <c r="S275" s="33">
        <f>1493.91</f>
        <v>1493.91</v>
      </c>
      <c r="T275" s="30">
        <f>759220</f>
        <v>759220</v>
      </c>
      <c r="U275" s="30">
        <f>124380</f>
        <v>124380</v>
      </c>
      <c r="V275" s="30">
        <f>1128840223</f>
        <v>1128840223</v>
      </c>
      <c r="W275" s="30">
        <f>182850768</f>
        <v>182850768</v>
      </c>
      <c r="X275" s="34">
        <f>22</f>
        <v>22</v>
      </c>
    </row>
    <row r="276" spans="1:24">
      <c r="A276" s="25" t="s">
        <v>1232</v>
      </c>
      <c r="B276" s="25" t="s">
        <v>557</v>
      </c>
      <c r="C276" s="25" t="s">
        <v>1074</v>
      </c>
      <c r="D276" s="25" t="s">
        <v>1075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511.1</f>
        <v>511.1</v>
      </c>
      <c r="L276" s="32" t="s">
        <v>1110</v>
      </c>
      <c r="M276" s="31">
        <f>520.9</f>
        <v>520.9</v>
      </c>
      <c r="N276" s="32" t="s">
        <v>1110</v>
      </c>
      <c r="O276" s="31">
        <f>455</f>
        <v>455</v>
      </c>
      <c r="P276" s="32" t="s">
        <v>1114</v>
      </c>
      <c r="Q276" s="31">
        <f>491.6</f>
        <v>491.6</v>
      </c>
      <c r="R276" s="32" t="s">
        <v>681</v>
      </c>
      <c r="S276" s="33">
        <f>491.66</f>
        <v>491.66</v>
      </c>
      <c r="T276" s="30">
        <f>24203790</f>
        <v>24203790</v>
      </c>
      <c r="U276" s="30">
        <f>708450</f>
        <v>708450</v>
      </c>
      <c r="V276" s="30">
        <f>11781749992</f>
        <v>11781749992</v>
      </c>
      <c r="W276" s="30">
        <f>342822144</f>
        <v>342822144</v>
      </c>
      <c r="X276" s="34">
        <f>22</f>
        <v>22</v>
      </c>
    </row>
    <row r="277" spans="1:24">
      <c r="A277" s="25" t="s">
        <v>1232</v>
      </c>
      <c r="B277" s="25" t="s">
        <v>558</v>
      </c>
      <c r="C277" s="25" t="s">
        <v>559</v>
      </c>
      <c r="D277" s="25" t="s">
        <v>560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1049.5</f>
        <v>1049.5</v>
      </c>
      <c r="L277" s="32" t="s">
        <v>1110</v>
      </c>
      <c r="M277" s="31">
        <f>1049.5</f>
        <v>1049.5</v>
      </c>
      <c r="N277" s="32" t="s">
        <v>1110</v>
      </c>
      <c r="O277" s="31">
        <f>1012</f>
        <v>1012</v>
      </c>
      <c r="P277" s="32" t="s">
        <v>679</v>
      </c>
      <c r="Q277" s="31">
        <f>1021.5</f>
        <v>1021.5</v>
      </c>
      <c r="R277" s="32" t="s">
        <v>681</v>
      </c>
      <c r="S277" s="33">
        <f>1026</f>
        <v>1026</v>
      </c>
      <c r="T277" s="30">
        <f>386340</f>
        <v>386340</v>
      </c>
      <c r="U277" s="30">
        <f>126230</f>
        <v>126230</v>
      </c>
      <c r="V277" s="30">
        <f>398825322</f>
        <v>398825322</v>
      </c>
      <c r="W277" s="30">
        <f>129361692</f>
        <v>129361692</v>
      </c>
      <c r="X277" s="34">
        <f>22</f>
        <v>22</v>
      </c>
    </row>
    <row r="278" spans="1:24">
      <c r="A278" s="25" t="s">
        <v>1232</v>
      </c>
      <c r="B278" s="25" t="s">
        <v>561</v>
      </c>
      <c r="C278" s="25" t="s">
        <v>562</v>
      </c>
      <c r="D278" s="25" t="s">
        <v>563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1574</f>
        <v>1574</v>
      </c>
      <c r="L278" s="32" t="s">
        <v>1110</v>
      </c>
      <c r="M278" s="31">
        <f>1650</f>
        <v>1650</v>
      </c>
      <c r="N278" s="32" t="s">
        <v>1113</v>
      </c>
      <c r="O278" s="31">
        <f>1510</f>
        <v>1510</v>
      </c>
      <c r="P278" s="32" t="s">
        <v>1114</v>
      </c>
      <c r="Q278" s="31">
        <f>1560</f>
        <v>1560</v>
      </c>
      <c r="R278" s="32" t="s">
        <v>681</v>
      </c>
      <c r="S278" s="33">
        <f>1560.18</f>
        <v>1560.18</v>
      </c>
      <c r="T278" s="30">
        <f>168604</f>
        <v>168604</v>
      </c>
      <c r="U278" s="30" t="str">
        <f>"－"</f>
        <v>－</v>
      </c>
      <c r="V278" s="30">
        <f>263399939</f>
        <v>263399939</v>
      </c>
      <c r="W278" s="30" t="str">
        <f>"－"</f>
        <v>－</v>
      </c>
      <c r="X278" s="34">
        <f>22</f>
        <v>22</v>
      </c>
    </row>
    <row r="279" spans="1:24">
      <c r="A279" s="25" t="s">
        <v>1232</v>
      </c>
      <c r="B279" s="25" t="s">
        <v>564</v>
      </c>
      <c r="C279" s="25" t="s">
        <v>565</v>
      </c>
      <c r="D279" s="25" t="s">
        <v>566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1039.5</f>
        <v>1039.5</v>
      </c>
      <c r="L279" s="32" t="s">
        <v>1110</v>
      </c>
      <c r="M279" s="31">
        <f>1099.5</f>
        <v>1099.5</v>
      </c>
      <c r="N279" s="32" t="s">
        <v>1116</v>
      </c>
      <c r="O279" s="31">
        <f>1036</f>
        <v>1036</v>
      </c>
      <c r="P279" s="32" t="s">
        <v>1110</v>
      </c>
      <c r="Q279" s="31">
        <f>1087.5</f>
        <v>1087.5</v>
      </c>
      <c r="R279" s="32" t="s">
        <v>681</v>
      </c>
      <c r="S279" s="33">
        <f>1068.45</f>
        <v>1068.45</v>
      </c>
      <c r="T279" s="30">
        <f>76970</f>
        <v>76970</v>
      </c>
      <c r="U279" s="30">
        <f>24440</f>
        <v>24440</v>
      </c>
      <c r="V279" s="30">
        <f>81885026</f>
        <v>81885026</v>
      </c>
      <c r="W279" s="30">
        <f>25905116</f>
        <v>25905116</v>
      </c>
      <c r="X279" s="34">
        <f>22</f>
        <v>22</v>
      </c>
    </row>
    <row r="280" spans="1:24">
      <c r="A280" s="25" t="s">
        <v>1232</v>
      </c>
      <c r="B280" s="25" t="s">
        <v>567</v>
      </c>
      <c r="C280" s="25" t="s">
        <v>568</v>
      </c>
      <c r="D280" s="25" t="s">
        <v>569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1479.5</f>
        <v>1479.5</v>
      </c>
      <c r="L280" s="32" t="s">
        <v>1110</v>
      </c>
      <c r="M280" s="31">
        <f>1565.5</f>
        <v>1565.5</v>
      </c>
      <c r="N280" s="32" t="s">
        <v>1115</v>
      </c>
      <c r="O280" s="31">
        <f>1445</f>
        <v>1445</v>
      </c>
      <c r="P280" s="32" t="s">
        <v>1116</v>
      </c>
      <c r="Q280" s="31">
        <f>1488</f>
        <v>1488</v>
      </c>
      <c r="R280" s="32" t="s">
        <v>681</v>
      </c>
      <c r="S280" s="33">
        <f>1502.86</f>
        <v>1502.86</v>
      </c>
      <c r="T280" s="30">
        <f>89100</f>
        <v>89100</v>
      </c>
      <c r="U280" s="30">
        <f>23240</f>
        <v>23240</v>
      </c>
      <c r="V280" s="30">
        <f>134807775</f>
        <v>134807775</v>
      </c>
      <c r="W280" s="30">
        <f>35348040</f>
        <v>35348040</v>
      </c>
      <c r="X280" s="34">
        <f>22</f>
        <v>22</v>
      </c>
    </row>
    <row r="281" spans="1:24">
      <c r="A281" s="25" t="s">
        <v>1232</v>
      </c>
      <c r="B281" s="25" t="s">
        <v>570</v>
      </c>
      <c r="C281" s="25" t="s">
        <v>571</v>
      </c>
      <c r="D281" s="25" t="s">
        <v>572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1756.5</f>
        <v>1756.5</v>
      </c>
      <c r="L281" s="32" t="s">
        <v>1110</v>
      </c>
      <c r="M281" s="31">
        <f>1790.5</f>
        <v>1790.5</v>
      </c>
      <c r="N281" s="32" t="s">
        <v>875</v>
      </c>
      <c r="O281" s="31">
        <f>1735.5</f>
        <v>1735.5</v>
      </c>
      <c r="P281" s="32" t="s">
        <v>1113</v>
      </c>
      <c r="Q281" s="31">
        <f>1761.5</f>
        <v>1761.5</v>
      </c>
      <c r="R281" s="32" t="s">
        <v>681</v>
      </c>
      <c r="S281" s="33">
        <f>1766.11</f>
        <v>1766.11</v>
      </c>
      <c r="T281" s="30">
        <f>6159730</f>
        <v>6159730</v>
      </c>
      <c r="U281" s="30">
        <f>3910900</f>
        <v>3910900</v>
      </c>
      <c r="V281" s="30">
        <f>10860494582</f>
        <v>10860494582</v>
      </c>
      <c r="W281" s="30">
        <f>6893181107</f>
        <v>6893181107</v>
      </c>
      <c r="X281" s="34">
        <f>22</f>
        <v>22</v>
      </c>
    </row>
    <row r="282" spans="1:24">
      <c r="A282" s="25" t="s">
        <v>1232</v>
      </c>
      <c r="B282" s="25" t="s">
        <v>573</v>
      </c>
      <c r="C282" s="25" t="s">
        <v>574</v>
      </c>
      <c r="D282" s="25" t="s">
        <v>575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5170</f>
        <v>5170</v>
      </c>
      <c r="L282" s="32" t="s">
        <v>1110</v>
      </c>
      <c r="M282" s="31">
        <f>5510</f>
        <v>5510</v>
      </c>
      <c r="N282" s="32" t="s">
        <v>777</v>
      </c>
      <c r="O282" s="31">
        <f>5020</f>
        <v>5020</v>
      </c>
      <c r="P282" s="32" t="s">
        <v>1116</v>
      </c>
      <c r="Q282" s="31">
        <f>5470</f>
        <v>5470</v>
      </c>
      <c r="R282" s="32" t="s">
        <v>681</v>
      </c>
      <c r="S282" s="33">
        <f>5291.82</f>
        <v>5291.82</v>
      </c>
      <c r="T282" s="30">
        <f>24522</f>
        <v>24522</v>
      </c>
      <c r="U282" s="30">
        <f>2</f>
        <v>2</v>
      </c>
      <c r="V282" s="30">
        <f>129511110</f>
        <v>129511110</v>
      </c>
      <c r="W282" s="30">
        <f>10460</f>
        <v>10460</v>
      </c>
      <c r="X282" s="34">
        <f>22</f>
        <v>22</v>
      </c>
    </row>
    <row r="283" spans="1:24">
      <c r="A283" s="25" t="s">
        <v>1232</v>
      </c>
      <c r="B283" s="25" t="s">
        <v>576</v>
      </c>
      <c r="C283" s="25" t="s">
        <v>577</v>
      </c>
      <c r="D283" s="25" t="s">
        <v>578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2224</f>
        <v>2224</v>
      </c>
      <c r="L283" s="32" t="s">
        <v>1116</v>
      </c>
      <c r="M283" s="31">
        <f>2320</f>
        <v>2320</v>
      </c>
      <c r="N283" s="32" t="s">
        <v>1115</v>
      </c>
      <c r="O283" s="31">
        <f>2222</f>
        <v>2222</v>
      </c>
      <c r="P283" s="32" t="s">
        <v>1116</v>
      </c>
      <c r="Q283" s="31">
        <f>2254</f>
        <v>2254</v>
      </c>
      <c r="R283" s="32" t="s">
        <v>1114</v>
      </c>
      <c r="S283" s="33">
        <f>2258.1</f>
        <v>2258.1</v>
      </c>
      <c r="T283" s="30">
        <f>930</f>
        <v>930</v>
      </c>
      <c r="U283" s="30" t="str">
        <f>"－"</f>
        <v>－</v>
      </c>
      <c r="V283" s="30">
        <f>2068915</f>
        <v>2068915</v>
      </c>
      <c r="W283" s="30" t="str">
        <f>"－"</f>
        <v>－</v>
      </c>
      <c r="X283" s="34">
        <f>5</f>
        <v>5</v>
      </c>
    </row>
    <row r="284" spans="1:24">
      <c r="A284" s="25" t="s">
        <v>1232</v>
      </c>
      <c r="B284" s="25" t="s">
        <v>579</v>
      </c>
      <c r="C284" s="25" t="s">
        <v>580</v>
      </c>
      <c r="D284" s="25" t="s">
        <v>581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2737.5</f>
        <v>2737.5</v>
      </c>
      <c r="L284" s="32" t="s">
        <v>1110</v>
      </c>
      <c r="M284" s="31">
        <f>2843</f>
        <v>2843</v>
      </c>
      <c r="N284" s="32" t="s">
        <v>875</v>
      </c>
      <c r="O284" s="31">
        <f>2680</f>
        <v>2680</v>
      </c>
      <c r="P284" s="32" t="s">
        <v>683</v>
      </c>
      <c r="Q284" s="31">
        <f>2768</f>
        <v>2768</v>
      </c>
      <c r="R284" s="32" t="s">
        <v>681</v>
      </c>
      <c r="S284" s="33">
        <f>2758.07</f>
        <v>2758.07</v>
      </c>
      <c r="T284" s="30">
        <f>1747630</f>
        <v>1747630</v>
      </c>
      <c r="U284" s="30">
        <f>1217830</f>
        <v>1217830</v>
      </c>
      <c r="V284" s="30">
        <f>4809893895</f>
        <v>4809893895</v>
      </c>
      <c r="W284" s="30">
        <f>3349291755</f>
        <v>3349291755</v>
      </c>
      <c r="X284" s="34">
        <f>22</f>
        <v>22</v>
      </c>
    </row>
    <row r="285" spans="1:24">
      <c r="A285" s="25" t="s">
        <v>1232</v>
      </c>
      <c r="B285" s="25" t="s">
        <v>582</v>
      </c>
      <c r="C285" s="25" t="s">
        <v>583</v>
      </c>
      <c r="D285" s="25" t="s">
        <v>584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38630</f>
        <v>38630</v>
      </c>
      <c r="L285" s="32" t="s">
        <v>1110</v>
      </c>
      <c r="M285" s="31">
        <f>40540</f>
        <v>40540</v>
      </c>
      <c r="N285" s="32" t="s">
        <v>875</v>
      </c>
      <c r="O285" s="31">
        <f>37980</f>
        <v>37980</v>
      </c>
      <c r="P285" s="32" t="s">
        <v>1116</v>
      </c>
      <c r="Q285" s="31">
        <f>39420</f>
        <v>39420</v>
      </c>
      <c r="R285" s="32" t="s">
        <v>681</v>
      </c>
      <c r="S285" s="33">
        <f>39220.95</f>
        <v>39220.949999999997</v>
      </c>
      <c r="T285" s="30">
        <f>81965</f>
        <v>81965</v>
      </c>
      <c r="U285" s="30">
        <f>4775</f>
        <v>4775</v>
      </c>
      <c r="V285" s="30">
        <f>3197524861</f>
        <v>3197524861</v>
      </c>
      <c r="W285" s="30">
        <f>187342101</f>
        <v>187342101</v>
      </c>
      <c r="X285" s="34">
        <f>21</f>
        <v>21</v>
      </c>
    </row>
    <row r="286" spans="1:24">
      <c r="A286" s="25" t="s">
        <v>1232</v>
      </c>
      <c r="B286" s="25" t="s">
        <v>585</v>
      </c>
      <c r="C286" s="25" t="s">
        <v>586</v>
      </c>
      <c r="D286" s="25" t="s">
        <v>587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25110</f>
        <v>25110</v>
      </c>
      <c r="L286" s="32" t="s">
        <v>1110</v>
      </c>
      <c r="M286" s="31">
        <f>25680</f>
        <v>25680</v>
      </c>
      <c r="N286" s="32" t="s">
        <v>1115</v>
      </c>
      <c r="O286" s="31">
        <f>24320</f>
        <v>24320</v>
      </c>
      <c r="P286" s="32" t="s">
        <v>1114</v>
      </c>
      <c r="Q286" s="31">
        <f>24655</f>
        <v>24655</v>
      </c>
      <c r="R286" s="32" t="s">
        <v>681</v>
      </c>
      <c r="S286" s="33">
        <f>25037.5</f>
        <v>25037.5</v>
      </c>
      <c r="T286" s="30">
        <f>5333</f>
        <v>5333</v>
      </c>
      <c r="U286" s="30" t="str">
        <f>"－"</f>
        <v>－</v>
      </c>
      <c r="V286" s="30">
        <f>132978895</f>
        <v>132978895</v>
      </c>
      <c r="W286" s="30" t="str">
        <f>"－"</f>
        <v>－</v>
      </c>
      <c r="X286" s="34">
        <f>18</f>
        <v>18</v>
      </c>
    </row>
    <row r="287" spans="1:24">
      <c r="A287" s="25" t="s">
        <v>1232</v>
      </c>
      <c r="B287" s="25" t="s">
        <v>588</v>
      </c>
      <c r="C287" s="25" t="s">
        <v>589</v>
      </c>
      <c r="D287" s="25" t="s">
        <v>590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1053.5</f>
        <v>1053.5</v>
      </c>
      <c r="L287" s="32" t="s">
        <v>1110</v>
      </c>
      <c r="M287" s="31">
        <f>1053.5</f>
        <v>1053.5</v>
      </c>
      <c r="N287" s="32" t="s">
        <v>1110</v>
      </c>
      <c r="O287" s="31">
        <f>1023</f>
        <v>1023</v>
      </c>
      <c r="P287" s="32" t="s">
        <v>874</v>
      </c>
      <c r="Q287" s="31">
        <f>1027</f>
        <v>1027</v>
      </c>
      <c r="R287" s="32" t="s">
        <v>681</v>
      </c>
      <c r="S287" s="33">
        <f>1033.74</f>
        <v>1033.74</v>
      </c>
      <c r="T287" s="30">
        <f>220430</f>
        <v>220430</v>
      </c>
      <c r="U287" s="30" t="str">
        <f>"－"</f>
        <v>－</v>
      </c>
      <c r="V287" s="30">
        <f>227742505</f>
        <v>227742505</v>
      </c>
      <c r="W287" s="30" t="str">
        <f>"－"</f>
        <v>－</v>
      </c>
      <c r="X287" s="34">
        <f>21</f>
        <v>21</v>
      </c>
    </row>
    <row r="288" spans="1:24">
      <c r="A288" s="25" t="s">
        <v>1232</v>
      </c>
      <c r="B288" s="25" t="s">
        <v>591</v>
      </c>
      <c r="C288" s="25" t="s">
        <v>946</v>
      </c>
      <c r="D288" s="25" t="s">
        <v>947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1041</f>
        <v>1041</v>
      </c>
      <c r="L288" s="32" t="s">
        <v>1110</v>
      </c>
      <c r="M288" s="31">
        <f>1041</f>
        <v>1041</v>
      </c>
      <c r="N288" s="32" t="s">
        <v>1110</v>
      </c>
      <c r="O288" s="31">
        <f>1004</f>
        <v>1004</v>
      </c>
      <c r="P288" s="32" t="s">
        <v>679</v>
      </c>
      <c r="Q288" s="31">
        <f>1012</f>
        <v>1012</v>
      </c>
      <c r="R288" s="32" t="s">
        <v>681</v>
      </c>
      <c r="S288" s="33">
        <f>1018.5</f>
        <v>1018.5</v>
      </c>
      <c r="T288" s="30">
        <f>840863</f>
        <v>840863</v>
      </c>
      <c r="U288" s="30">
        <f>655214</f>
        <v>655214</v>
      </c>
      <c r="V288" s="30">
        <f>847962997</f>
        <v>847962997</v>
      </c>
      <c r="W288" s="30">
        <f>660131811</f>
        <v>660131811</v>
      </c>
      <c r="X288" s="34">
        <f>22</f>
        <v>22</v>
      </c>
    </row>
    <row r="289" spans="1:24">
      <c r="A289" s="25" t="s">
        <v>1232</v>
      </c>
      <c r="B289" s="25" t="s">
        <v>592</v>
      </c>
      <c r="C289" s="25" t="s">
        <v>593</v>
      </c>
      <c r="D289" s="25" t="s">
        <v>594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1698</f>
        <v>1698</v>
      </c>
      <c r="L289" s="32" t="s">
        <v>1110</v>
      </c>
      <c r="M289" s="31">
        <f>1735</f>
        <v>1735</v>
      </c>
      <c r="N289" s="32" t="s">
        <v>1115</v>
      </c>
      <c r="O289" s="31">
        <f>1631</f>
        <v>1631</v>
      </c>
      <c r="P289" s="32" t="s">
        <v>679</v>
      </c>
      <c r="Q289" s="31">
        <f>1683</f>
        <v>1683</v>
      </c>
      <c r="R289" s="32" t="s">
        <v>681</v>
      </c>
      <c r="S289" s="33">
        <f>1681.73</f>
        <v>1681.73</v>
      </c>
      <c r="T289" s="30">
        <f>213047</f>
        <v>213047</v>
      </c>
      <c r="U289" s="30">
        <f>64998</f>
        <v>64998</v>
      </c>
      <c r="V289" s="30">
        <f>356803582</f>
        <v>356803582</v>
      </c>
      <c r="W289" s="30">
        <f>106762269</f>
        <v>106762269</v>
      </c>
      <c r="X289" s="34">
        <f>22</f>
        <v>22</v>
      </c>
    </row>
    <row r="290" spans="1:24">
      <c r="A290" s="25" t="s">
        <v>1232</v>
      </c>
      <c r="B290" s="25" t="s">
        <v>595</v>
      </c>
      <c r="C290" s="25" t="s">
        <v>596</v>
      </c>
      <c r="D290" s="25" t="s">
        <v>597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32910</f>
        <v>32910</v>
      </c>
      <c r="L290" s="32" t="s">
        <v>1110</v>
      </c>
      <c r="M290" s="31">
        <f>109600</f>
        <v>109600</v>
      </c>
      <c r="N290" s="32" t="s">
        <v>1115</v>
      </c>
      <c r="O290" s="31">
        <f>14110</f>
        <v>14110</v>
      </c>
      <c r="P290" s="32" t="s">
        <v>678</v>
      </c>
      <c r="Q290" s="31">
        <f>14895</f>
        <v>14895</v>
      </c>
      <c r="R290" s="32" t="s">
        <v>681</v>
      </c>
      <c r="S290" s="33">
        <f>27398.86</f>
        <v>27398.86</v>
      </c>
      <c r="T290" s="30">
        <f>47939</f>
        <v>47939</v>
      </c>
      <c r="U290" s="30">
        <f>729</f>
        <v>729</v>
      </c>
      <c r="V290" s="30">
        <f>1852452720</f>
        <v>1852452720</v>
      </c>
      <c r="W290" s="30">
        <f>9947205</f>
        <v>9947205</v>
      </c>
      <c r="X290" s="34">
        <f>22</f>
        <v>22</v>
      </c>
    </row>
    <row r="291" spans="1:24">
      <c r="A291" s="25" t="s">
        <v>1232</v>
      </c>
      <c r="B291" s="25" t="s">
        <v>598</v>
      </c>
      <c r="C291" s="25" t="s">
        <v>599</v>
      </c>
      <c r="D291" s="25" t="s">
        <v>600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1880</f>
        <v>1880</v>
      </c>
      <c r="L291" s="32" t="s">
        <v>1110</v>
      </c>
      <c r="M291" s="31">
        <f>1880</f>
        <v>1880</v>
      </c>
      <c r="N291" s="32" t="s">
        <v>1110</v>
      </c>
      <c r="O291" s="31">
        <f>1799</f>
        <v>1799</v>
      </c>
      <c r="P291" s="32" t="s">
        <v>778</v>
      </c>
      <c r="Q291" s="31">
        <f>1813</f>
        <v>1813</v>
      </c>
      <c r="R291" s="32" t="s">
        <v>681</v>
      </c>
      <c r="S291" s="33">
        <f>1831.45</f>
        <v>1831.45</v>
      </c>
      <c r="T291" s="30">
        <f>58022</f>
        <v>58022</v>
      </c>
      <c r="U291" s="30">
        <f>8002</f>
        <v>8002</v>
      </c>
      <c r="V291" s="30">
        <f>105883470</f>
        <v>105883470</v>
      </c>
      <c r="W291" s="30">
        <f>14650058</f>
        <v>14650058</v>
      </c>
      <c r="X291" s="34">
        <f>22</f>
        <v>22</v>
      </c>
    </row>
    <row r="292" spans="1:24">
      <c r="A292" s="25" t="s">
        <v>1232</v>
      </c>
      <c r="B292" s="25" t="s">
        <v>601</v>
      </c>
      <c r="C292" s="25" t="s">
        <v>602</v>
      </c>
      <c r="D292" s="25" t="s">
        <v>603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10</v>
      </c>
      <c r="K292" s="31">
        <f>3599</f>
        <v>3599</v>
      </c>
      <c r="L292" s="32" t="s">
        <v>1110</v>
      </c>
      <c r="M292" s="31">
        <f>70400</f>
        <v>70400</v>
      </c>
      <c r="N292" s="32" t="s">
        <v>1113</v>
      </c>
      <c r="O292" s="31">
        <f>1593</f>
        <v>1593</v>
      </c>
      <c r="P292" s="32" t="s">
        <v>678</v>
      </c>
      <c r="Q292" s="31">
        <f>1710</f>
        <v>1710</v>
      </c>
      <c r="R292" s="32" t="s">
        <v>681</v>
      </c>
      <c r="S292" s="33">
        <f>8304.39</f>
        <v>8304.39</v>
      </c>
      <c r="T292" s="30">
        <f>1277450</f>
        <v>1277450</v>
      </c>
      <c r="U292" s="30">
        <f>37180</f>
        <v>37180</v>
      </c>
      <c r="V292" s="30">
        <f>4449694770</f>
        <v>4449694770</v>
      </c>
      <c r="W292" s="30">
        <f>58372680</f>
        <v>58372680</v>
      </c>
      <c r="X292" s="34">
        <f>22</f>
        <v>22</v>
      </c>
    </row>
    <row r="293" spans="1:24">
      <c r="A293" s="25" t="s">
        <v>1232</v>
      </c>
      <c r="B293" s="25" t="s">
        <v>604</v>
      </c>
      <c r="C293" s="25" t="s">
        <v>685</v>
      </c>
      <c r="D293" s="25" t="s">
        <v>686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819.8</f>
        <v>819.8</v>
      </c>
      <c r="L293" s="32" t="s">
        <v>1110</v>
      </c>
      <c r="M293" s="31">
        <f>819.8</f>
        <v>819.8</v>
      </c>
      <c r="N293" s="32" t="s">
        <v>1110</v>
      </c>
      <c r="O293" s="31">
        <f>793</f>
        <v>793</v>
      </c>
      <c r="P293" s="32" t="s">
        <v>681</v>
      </c>
      <c r="Q293" s="31">
        <f>795</f>
        <v>795</v>
      </c>
      <c r="R293" s="32" t="s">
        <v>681</v>
      </c>
      <c r="S293" s="33">
        <f>803.59</f>
        <v>803.59</v>
      </c>
      <c r="T293" s="30">
        <f>1866600</f>
        <v>1866600</v>
      </c>
      <c r="U293" s="30">
        <f>1646860</f>
        <v>1646860</v>
      </c>
      <c r="V293" s="30">
        <f>1498216979</f>
        <v>1498216979</v>
      </c>
      <c r="W293" s="30">
        <f>1322528610</f>
        <v>1322528610</v>
      </c>
      <c r="X293" s="34">
        <f>22</f>
        <v>22</v>
      </c>
    </row>
    <row r="294" spans="1:24">
      <c r="A294" s="25" t="s">
        <v>1232</v>
      </c>
      <c r="B294" s="25" t="s">
        <v>605</v>
      </c>
      <c r="C294" s="25" t="s">
        <v>606</v>
      </c>
      <c r="D294" s="25" t="s">
        <v>607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1801.5</f>
        <v>1801.5</v>
      </c>
      <c r="L294" s="32" t="s">
        <v>1110</v>
      </c>
      <c r="M294" s="31">
        <f>1801.5</f>
        <v>1801.5</v>
      </c>
      <c r="N294" s="32" t="s">
        <v>1110</v>
      </c>
      <c r="O294" s="31">
        <f>1720</f>
        <v>1720</v>
      </c>
      <c r="P294" s="32" t="s">
        <v>1114</v>
      </c>
      <c r="Q294" s="31">
        <f>1736</f>
        <v>1736</v>
      </c>
      <c r="R294" s="32" t="s">
        <v>681</v>
      </c>
      <c r="S294" s="33">
        <f>1752.14</f>
        <v>1752.14</v>
      </c>
      <c r="T294" s="30">
        <f>95480</f>
        <v>95480</v>
      </c>
      <c r="U294" s="30">
        <f>12150</f>
        <v>12150</v>
      </c>
      <c r="V294" s="30">
        <f>167520129</f>
        <v>167520129</v>
      </c>
      <c r="W294" s="30">
        <f>21583489</f>
        <v>21583489</v>
      </c>
      <c r="X294" s="34">
        <f>22</f>
        <v>22</v>
      </c>
    </row>
    <row r="295" spans="1:24">
      <c r="A295" s="25" t="s">
        <v>1232</v>
      </c>
      <c r="B295" s="25" t="s">
        <v>608</v>
      </c>
      <c r="C295" s="25" t="s">
        <v>609</v>
      </c>
      <c r="D295" s="25" t="s">
        <v>610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1799.5</f>
        <v>1799.5</v>
      </c>
      <c r="L295" s="32" t="s">
        <v>1110</v>
      </c>
      <c r="M295" s="31">
        <f>1799.5</f>
        <v>1799.5</v>
      </c>
      <c r="N295" s="32" t="s">
        <v>1110</v>
      </c>
      <c r="O295" s="31">
        <f>1714</f>
        <v>1714</v>
      </c>
      <c r="P295" s="32" t="s">
        <v>679</v>
      </c>
      <c r="Q295" s="31">
        <f>1725</f>
        <v>1725</v>
      </c>
      <c r="R295" s="32" t="s">
        <v>681</v>
      </c>
      <c r="S295" s="33">
        <f>1742.8</f>
        <v>1742.8</v>
      </c>
      <c r="T295" s="30">
        <f>1968670</f>
        <v>1968670</v>
      </c>
      <c r="U295" s="30">
        <f>530600</f>
        <v>530600</v>
      </c>
      <c r="V295" s="30">
        <f>3410231990</f>
        <v>3410231990</v>
      </c>
      <c r="W295" s="30">
        <f>916209085</f>
        <v>916209085</v>
      </c>
      <c r="X295" s="34">
        <f>22</f>
        <v>22</v>
      </c>
    </row>
    <row r="296" spans="1:24">
      <c r="A296" s="25" t="s">
        <v>1232</v>
      </c>
      <c r="B296" s="25" t="s">
        <v>611</v>
      </c>
      <c r="C296" s="25" t="s">
        <v>612</v>
      </c>
      <c r="D296" s="25" t="s">
        <v>613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2735</f>
        <v>2735</v>
      </c>
      <c r="L296" s="32" t="s">
        <v>1110</v>
      </c>
      <c r="M296" s="31">
        <f>2776.5</f>
        <v>2776.5</v>
      </c>
      <c r="N296" s="32" t="s">
        <v>1115</v>
      </c>
      <c r="O296" s="31">
        <f>2631.5</f>
        <v>2631.5</v>
      </c>
      <c r="P296" s="32" t="s">
        <v>1114</v>
      </c>
      <c r="Q296" s="31">
        <f>2727.5</f>
        <v>2727.5</v>
      </c>
      <c r="R296" s="32" t="s">
        <v>681</v>
      </c>
      <c r="S296" s="33">
        <f>2715.68</f>
        <v>2715.68</v>
      </c>
      <c r="T296" s="30">
        <f>688980</f>
        <v>688980</v>
      </c>
      <c r="U296" s="30">
        <f>100000</f>
        <v>100000</v>
      </c>
      <c r="V296" s="30">
        <f>1863716870</f>
        <v>1863716870</v>
      </c>
      <c r="W296" s="30">
        <f>268140000</f>
        <v>268140000</v>
      </c>
      <c r="X296" s="34">
        <f>22</f>
        <v>22</v>
      </c>
    </row>
    <row r="297" spans="1:24">
      <c r="A297" s="25" t="s">
        <v>1232</v>
      </c>
      <c r="B297" s="25" t="s">
        <v>614</v>
      </c>
      <c r="C297" s="25" t="s">
        <v>615</v>
      </c>
      <c r="D297" s="25" t="s">
        <v>616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23800</f>
        <v>23800</v>
      </c>
      <c r="L297" s="32" t="s">
        <v>1110</v>
      </c>
      <c r="M297" s="31">
        <f>25880</f>
        <v>25880</v>
      </c>
      <c r="N297" s="32" t="s">
        <v>1114</v>
      </c>
      <c r="O297" s="31">
        <f>23505</f>
        <v>23505</v>
      </c>
      <c r="P297" s="32" t="s">
        <v>1116</v>
      </c>
      <c r="Q297" s="31">
        <f>25495</f>
        <v>25495</v>
      </c>
      <c r="R297" s="32" t="s">
        <v>681</v>
      </c>
      <c r="S297" s="33">
        <f>24951.14</f>
        <v>24951.14</v>
      </c>
      <c r="T297" s="30">
        <f>889635</f>
        <v>889635</v>
      </c>
      <c r="U297" s="30">
        <f>80811</f>
        <v>80811</v>
      </c>
      <c r="V297" s="30">
        <f>22116083182</f>
        <v>22116083182</v>
      </c>
      <c r="W297" s="30">
        <f>2003615027</f>
        <v>2003615027</v>
      </c>
      <c r="X297" s="34">
        <f>22</f>
        <v>22</v>
      </c>
    </row>
    <row r="298" spans="1:24">
      <c r="A298" s="25" t="s">
        <v>1232</v>
      </c>
      <c r="B298" s="25" t="s">
        <v>617</v>
      </c>
      <c r="C298" s="25" t="s">
        <v>618</v>
      </c>
      <c r="D298" s="25" t="s">
        <v>619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20245</f>
        <v>20245</v>
      </c>
      <c r="L298" s="32" t="s">
        <v>1110</v>
      </c>
      <c r="M298" s="31">
        <f>21445</f>
        <v>21445</v>
      </c>
      <c r="N298" s="32" t="s">
        <v>1114</v>
      </c>
      <c r="O298" s="31">
        <f>19885</f>
        <v>19885</v>
      </c>
      <c r="P298" s="32" t="s">
        <v>1116</v>
      </c>
      <c r="Q298" s="31">
        <f>21150</f>
        <v>21150</v>
      </c>
      <c r="R298" s="32" t="s">
        <v>681</v>
      </c>
      <c r="S298" s="33">
        <f>20869.32</f>
        <v>20869.32</v>
      </c>
      <c r="T298" s="30">
        <f>278033</f>
        <v>278033</v>
      </c>
      <c r="U298" s="30">
        <f>186</f>
        <v>186</v>
      </c>
      <c r="V298" s="30">
        <f>5798060245</f>
        <v>5798060245</v>
      </c>
      <c r="W298" s="30">
        <f>3952015</f>
        <v>3952015</v>
      </c>
      <c r="X298" s="34">
        <f>22</f>
        <v>22</v>
      </c>
    </row>
    <row r="299" spans="1:24">
      <c r="A299" s="25" t="s">
        <v>1232</v>
      </c>
      <c r="B299" s="25" t="s">
        <v>620</v>
      </c>
      <c r="C299" s="25" t="s">
        <v>621</v>
      </c>
      <c r="D299" s="25" t="s">
        <v>622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39550</f>
        <v>39550</v>
      </c>
      <c r="L299" s="32" t="s">
        <v>1110</v>
      </c>
      <c r="M299" s="31">
        <f>39550</f>
        <v>39550</v>
      </c>
      <c r="N299" s="32" t="s">
        <v>1110</v>
      </c>
      <c r="O299" s="31">
        <f>35320</f>
        <v>35320</v>
      </c>
      <c r="P299" s="32" t="s">
        <v>683</v>
      </c>
      <c r="Q299" s="31">
        <f>36180</f>
        <v>36180</v>
      </c>
      <c r="R299" s="32" t="s">
        <v>777</v>
      </c>
      <c r="S299" s="33">
        <f>36000</f>
        <v>36000</v>
      </c>
      <c r="T299" s="30">
        <f>36</f>
        <v>36</v>
      </c>
      <c r="U299" s="30" t="str">
        <f>"－"</f>
        <v>－</v>
      </c>
      <c r="V299" s="30">
        <f>1296360</f>
        <v>1296360</v>
      </c>
      <c r="W299" s="30" t="str">
        <f>"－"</f>
        <v>－</v>
      </c>
      <c r="X299" s="34">
        <f>8</f>
        <v>8</v>
      </c>
    </row>
    <row r="300" spans="1:24">
      <c r="A300" s="25" t="s">
        <v>1232</v>
      </c>
      <c r="B300" s="25" t="s">
        <v>623</v>
      </c>
      <c r="C300" s="25" t="s">
        <v>624</v>
      </c>
      <c r="D300" s="25" t="s">
        <v>625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2365</f>
        <v>2365</v>
      </c>
      <c r="L300" s="32" t="s">
        <v>1110</v>
      </c>
      <c r="M300" s="31">
        <f>2385</f>
        <v>2385</v>
      </c>
      <c r="N300" s="32" t="s">
        <v>1116</v>
      </c>
      <c r="O300" s="31">
        <f>2341</f>
        <v>2341</v>
      </c>
      <c r="P300" s="32" t="s">
        <v>682</v>
      </c>
      <c r="Q300" s="31">
        <f>2350</f>
        <v>2350</v>
      </c>
      <c r="R300" s="32" t="s">
        <v>681</v>
      </c>
      <c r="S300" s="33">
        <f>2358.59</f>
        <v>2358.59</v>
      </c>
      <c r="T300" s="30">
        <f>934499</f>
        <v>934499</v>
      </c>
      <c r="U300" s="30">
        <f>530291</f>
        <v>530291</v>
      </c>
      <c r="V300" s="30">
        <f>2212481432</f>
        <v>2212481432</v>
      </c>
      <c r="W300" s="30">
        <f>1257811877</f>
        <v>1257811877</v>
      </c>
      <c r="X300" s="34">
        <f>22</f>
        <v>22</v>
      </c>
    </row>
    <row r="301" spans="1:24">
      <c r="A301" s="25" t="s">
        <v>1232</v>
      </c>
      <c r="B301" s="25" t="s">
        <v>626</v>
      </c>
      <c r="C301" s="25" t="s">
        <v>627</v>
      </c>
      <c r="D301" s="25" t="s">
        <v>628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3175</f>
        <v>3175</v>
      </c>
      <c r="L301" s="32" t="s">
        <v>1110</v>
      </c>
      <c r="M301" s="31">
        <f>3249</f>
        <v>3249</v>
      </c>
      <c r="N301" s="32" t="s">
        <v>1112</v>
      </c>
      <c r="O301" s="31">
        <f>3143</f>
        <v>3143</v>
      </c>
      <c r="P301" s="32" t="s">
        <v>1113</v>
      </c>
      <c r="Q301" s="31">
        <f>3145</f>
        <v>3145</v>
      </c>
      <c r="R301" s="32" t="s">
        <v>681</v>
      </c>
      <c r="S301" s="33">
        <f>3184.05</f>
        <v>3184.05</v>
      </c>
      <c r="T301" s="30">
        <f>1412270</f>
        <v>1412270</v>
      </c>
      <c r="U301" s="30">
        <f>527500</f>
        <v>527500</v>
      </c>
      <c r="V301" s="30">
        <f>4498093710</f>
        <v>4498093710</v>
      </c>
      <c r="W301" s="30">
        <f>1666203750</f>
        <v>1666203750</v>
      </c>
      <c r="X301" s="34">
        <f>22</f>
        <v>22</v>
      </c>
    </row>
    <row r="302" spans="1:24">
      <c r="A302" s="25" t="s">
        <v>1232</v>
      </c>
      <c r="B302" s="25" t="s">
        <v>629</v>
      </c>
      <c r="C302" s="25" t="s">
        <v>630</v>
      </c>
      <c r="D302" s="25" t="s">
        <v>631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327.1</f>
        <v>327.10000000000002</v>
      </c>
      <c r="L302" s="32" t="s">
        <v>1110</v>
      </c>
      <c r="M302" s="31">
        <f>333.7</f>
        <v>333.7</v>
      </c>
      <c r="N302" s="32" t="s">
        <v>1112</v>
      </c>
      <c r="O302" s="31">
        <f>323.4</f>
        <v>323.39999999999998</v>
      </c>
      <c r="P302" s="32" t="s">
        <v>1113</v>
      </c>
      <c r="Q302" s="31">
        <f>328.5</f>
        <v>328.5</v>
      </c>
      <c r="R302" s="32" t="s">
        <v>681</v>
      </c>
      <c r="S302" s="33">
        <f>329.08</f>
        <v>329.08</v>
      </c>
      <c r="T302" s="30">
        <f>44934270</f>
        <v>44934270</v>
      </c>
      <c r="U302" s="30">
        <f>22362860</f>
        <v>22362860</v>
      </c>
      <c r="V302" s="30">
        <f>14828278520</f>
        <v>14828278520</v>
      </c>
      <c r="W302" s="30">
        <f>7400579445</f>
        <v>7400579445</v>
      </c>
      <c r="X302" s="34">
        <f>22</f>
        <v>22</v>
      </c>
    </row>
    <row r="303" spans="1:24">
      <c r="A303" s="25" t="s">
        <v>1232</v>
      </c>
      <c r="B303" s="25" t="s">
        <v>632</v>
      </c>
      <c r="C303" s="25" t="s">
        <v>633</v>
      </c>
      <c r="D303" s="25" t="s">
        <v>634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2811</f>
        <v>2811</v>
      </c>
      <c r="L303" s="32" t="s">
        <v>1110</v>
      </c>
      <c r="M303" s="31">
        <f>2831</f>
        <v>2831</v>
      </c>
      <c r="N303" s="32" t="s">
        <v>1115</v>
      </c>
      <c r="O303" s="31">
        <f>2596</f>
        <v>2596</v>
      </c>
      <c r="P303" s="32" t="s">
        <v>679</v>
      </c>
      <c r="Q303" s="31">
        <f>2682</f>
        <v>2682</v>
      </c>
      <c r="R303" s="32" t="s">
        <v>681</v>
      </c>
      <c r="S303" s="33">
        <f>2729.91</f>
        <v>2729.91</v>
      </c>
      <c r="T303" s="30">
        <f>2141531</f>
        <v>2141531</v>
      </c>
      <c r="U303" s="30">
        <f>1375764</f>
        <v>1375764</v>
      </c>
      <c r="V303" s="30">
        <f>5876713781</f>
        <v>5876713781</v>
      </c>
      <c r="W303" s="30">
        <f>3791200853</f>
        <v>3791200853</v>
      </c>
      <c r="X303" s="34">
        <f>22</f>
        <v>22</v>
      </c>
    </row>
    <row r="304" spans="1:24">
      <c r="A304" s="25" t="s">
        <v>1232</v>
      </c>
      <c r="B304" s="25" t="s">
        <v>635</v>
      </c>
      <c r="C304" s="25" t="s">
        <v>636</v>
      </c>
      <c r="D304" s="25" t="s">
        <v>637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869</f>
        <v>869</v>
      </c>
      <c r="L304" s="32" t="s">
        <v>1110</v>
      </c>
      <c r="M304" s="31">
        <f>869</f>
        <v>869</v>
      </c>
      <c r="N304" s="32" t="s">
        <v>1110</v>
      </c>
      <c r="O304" s="31">
        <f>840</f>
        <v>840</v>
      </c>
      <c r="P304" s="32" t="s">
        <v>778</v>
      </c>
      <c r="Q304" s="31">
        <f>848</f>
        <v>848</v>
      </c>
      <c r="R304" s="32" t="s">
        <v>681</v>
      </c>
      <c r="S304" s="33">
        <f>853.36</f>
        <v>853.36</v>
      </c>
      <c r="T304" s="30">
        <f>780628</f>
        <v>780628</v>
      </c>
      <c r="U304" s="30">
        <f>100005</f>
        <v>100005</v>
      </c>
      <c r="V304" s="30">
        <f>665978036</f>
        <v>665978036</v>
      </c>
      <c r="W304" s="30">
        <f>84572573</f>
        <v>84572573</v>
      </c>
      <c r="X304" s="34">
        <f>22</f>
        <v>22</v>
      </c>
    </row>
    <row r="305" spans="1:24">
      <c r="A305" s="25" t="s">
        <v>1232</v>
      </c>
      <c r="B305" s="25" t="s">
        <v>638</v>
      </c>
      <c r="C305" s="25" t="s">
        <v>639</v>
      </c>
      <c r="D305" s="25" t="s">
        <v>640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10</v>
      </c>
      <c r="K305" s="31">
        <f>995.5</f>
        <v>995.5</v>
      </c>
      <c r="L305" s="32" t="s">
        <v>1110</v>
      </c>
      <c r="M305" s="31">
        <f>995.5</f>
        <v>995.5</v>
      </c>
      <c r="N305" s="32" t="s">
        <v>1110</v>
      </c>
      <c r="O305" s="31">
        <f>942.6</f>
        <v>942.6</v>
      </c>
      <c r="P305" s="32" t="s">
        <v>1114</v>
      </c>
      <c r="Q305" s="31">
        <f>951.3</f>
        <v>951.3</v>
      </c>
      <c r="R305" s="32" t="s">
        <v>681</v>
      </c>
      <c r="S305" s="33">
        <f>957.38</f>
        <v>957.38</v>
      </c>
      <c r="T305" s="30">
        <f>154910</f>
        <v>154910</v>
      </c>
      <c r="U305" s="30">
        <f>30</f>
        <v>30</v>
      </c>
      <c r="V305" s="30">
        <f>149675816</f>
        <v>149675816</v>
      </c>
      <c r="W305" s="30">
        <f>28678</f>
        <v>28678</v>
      </c>
      <c r="X305" s="34">
        <f>22</f>
        <v>22</v>
      </c>
    </row>
    <row r="306" spans="1:24">
      <c r="A306" s="25" t="s">
        <v>1232</v>
      </c>
      <c r="B306" s="25" t="s">
        <v>641</v>
      </c>
      <c r="C306" s="25" t="s">
        <v>642</v>
      </c>
      <c r="D306" s="25" t="s">
        <v>643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10</v>
      </c>
      <c r="K306" s="31">
        <f>341</f>
        <v>341</v>
      </c>
      <c r="L306" s="32" t="s">
        <v>1110</v>
      </c>
      <c r="M306" s="31">
        <f>364.1</f>
        <v>364.1</v>
      </c>
      <c r="N306" s="32" t="s">
        <v>1113</v>
      </c>
      <c r="O306" s="31">
        <f>341</f>
        <v>341</v>
      </c>
      <c r="P306" s="32" t="s">
        <v>1110</v>
      </c>
      <c r="Q306" s="31">
        <f>357.9</f>
        <v>357.9</v>
      </c>
      <c r="R306" s="32" t="s">
        <v>681</v>
      </c>
      <c r="S306" s="33">
        <f>355.59</f>
        <v>355.59</v>
      </c>
      <c r="T306" s="30">
        <f>16300</f>
        <v>16300</v>
      </c>
      <c r="U306" s="30" t="str">
        <f>"－"</f>
        <v>－</v>
      </c>
      <c r="V306" s="30">
        <f>5829083</f>
        <v>5829083</v>
      </c>
      <c r="W306" s="30" t="str">
        <f>"－"</f>
        <v>－</v>
      </c>
      <c r="X306" s="34">
        <f>19</f>
        <v>19</v>
      </c>
    </row>
    <row r="307" spans="1:24">
      <c r="A307" s="25" t="s">
        <v>1232</v>
      </c>
      <c r="B307" s="25" t="s">
        <v>644</v>
      </c>
      <c r="C307" s="25" t="s">
        <v>645</v>
      </c>
      <c r="D307" s="25" t="s">
        <v>646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10</v>
      </c>
      <c r="K307" s="31">
        <f>4946</f>
        <v>4946</v>
      </c>
      <c r="L307" s="32" t="s">
        <v>1110</v>
      </c>
      <c r="M307" s="31">
        <f>5439</f>
        <v>5439</v>
      </c>
      <c r="N307" s="32" t="s">
        <v>777</v>
      </c>
      <c r="O307" s="31">
        <f>4856</f>
        <v>4856</v>
      </c>
      <c r="P307" s="32" t="s">
        <v>1116</v>
      </c>
      <c r="Q307" s="31">
        <f>5318</f>
        <v>5318</v>
      </c>
      <c r="R307" s="32" t="s">
        <v>681</v>
      </c>
      <c r="S307" s="33">
        <f>5184.36</f>
        <v>5184.3599999999997</v>
      </c>
      <c r="T307" s="30">
        <f>1622040</f>
        <v>1622040</v>
      </c>
      <c r="U307" s="30">
        <f>830010</f>
        <v>830010</v>
      </c>
      <c r="V307" s="30">
        <f>8357099130</f>
        <v>8357099130</v>
      </c>
      <c r="W307" s="30">
        <f>4239182650</f>
        <v>4239182650</v>
      </c>
      <c r="X307" s="34">
        <f>22</f>
        <v>22</v>
      </c>
    </row>
    <row r="308" spans="1:24">
      <c r="A308" s="25" t="s">
        <v>1232</v>
      </c>
      <c r="B308" s="25" t="s">
        <v>647</v>
      </c>
      <c r="C308" s="25" t="s">
        <v>648</v>
      </c>
      <c r="D308" s="25" t="s">
        <v>649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10</v>
      </c>
      <c r="K308" s="31">
        <f>3136</f>
        <v>3136</v>
      </c>
      <c r="L308" s="32" t="s">
        <v>1110</v>
      </c>
      <c r="M308" s="31">
        <f>3226</f>
        <v>3226</v>
      </c>
      <c r="N308" s="32" t="s">
        <v>777</v>
      </c>
      <c r="O308" s="31">
        <f>3082</f>
        <v>3082</v>
      </c>
      <c r="P308" s="32" t="s">
        <v>1116</v>
      </c>
      <c r="Q308" s="31">
        <f>3164</f>
        <v>3164</v>
      </c>
      <c r="R308" s="32" t="s">
        <v>681</v>
      </c>
      <c r="S308" s="33">
        <f>3153.59</f>
        <v>3153.59</v>
      </c>
      <c r="T308" s="30">
        <f>3600680</f>
        <v>3600680</v>
      </c>
      <c r="U308" s="30">
        <f>2022510</f>
        <v>2022510</v>
      </c>
      <c r="V308" s="30">
        <f>11369663332</f>
        <v>11369663332</v>
      </c>
      <c r="W308" s="30">
        <f>6385909862</f>
        <v>6385909862</v>
      </c>
      <c r="X308" s="34">
        <f>22</f>
        <v>22</v>
      </c>
    </row>
    <row r="309" spans="1:24">
      <c r="A309" s="25" t="s">
        <v>1232</v>
      </c>
      <c r="B309" s="25" t="s">
        <v>1225</v>
      </c>
      <c r="C309" s="25" t="s">
        <v>1226</v>
      </c>
      <c r="D309" s="25" t="s">
        <v>1227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2090</f>
        <v>2090</v>
      </c>
      <c r="L309" s="32" t="s">
        <v>1110</v>
      </c>
      <c r="M309" s="31">
        <f>2191</f>
        <v>2191</v>
      </c>
      <c r="N309" s="32" t="s">
        <v>760</v>
      </c>
      <c r="O309" s="31">
        <f>1995</f>
        <v>1995</v>
      </c>
      <c r="P309" s="32" t="s">
        <v>679</v>
      </c>
      <c r="Q309" s="31">
        <f>2075</f>
        <v>2075</v>
      </c>
      <c r="R309" s="32" t="s">
        <v>681</v>
      </c>
      <c r="S309" s="33">
        <f>2074.14</f>
        <v>2074.14</v>
      </c>
      <c r="T309" s="30">
        <f>20273</f>
        <v>20273</v>
      </c>
      <c r="U309" s="30" t="str">
        <f>"－"</f>
        <v>－</v>
      </c>
      <c r="V309" s="30">
        <f>42083448</f>
        <v>42083448</v>
      </c>
      <c r="W309" s="30" t="str">
        <f>"－"</f>
        <v>－</v>
      </c>
      <c r="X309" s="34">
        <f>22</f>
        <v>22</v>
      </c>
    </row>
    <row r="310" spans="1:24">
      <c r="A310" s="25" t="s">
        <v>1232</v>
      </c>
      <c r="B310" s="25" t="s">
        <v>1229</v>
      </c>
      <c r="C310" s="25" t="s">
        <v>1230</v>
      </c>
      <c r="D310" s="25" t="s">
        <v>1231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1995</f>
        <v>1995</v>
      </c>
      <c r="L310" s="32" t="s">
        <v>1110</v>
      </c>
      <c r="M310" s="31">
        <f>2014</f>
        <v>2014</v>
      </c>
      <c r="N310" s="32" t="s">
        <v>675</v>
      </c>
      <c r="O310" s="31">
        <f>1905</f>
        <v>1905</v>
      </c>
      <c r="P310" s="32" t="s">
        <v>1114</v>
      </c>
      <c r="Q310" s="31">
        <f>1933</f>
        <v>1933</v>
      </c>
      <c r="R310" s="32" t="s">
        <v>681</v>
      </c>
      <c r="S310" s="33">
        <f>1941.82</f>
        <v>1941.82</v>
      </c>
      <c r="T310" s="30">
        <f>38540</f>
        <v>38540</v>
      </c>
      <c r="U310" s="30" t="str">
        <f>"－"</f>
        <v>－</v>
      </c>
      <c r="V310" s="30">
        <f>74211851</f>
        <v>74211851</v>
      </c>
      <c r="W310" s="30" t="str">
        <f>"－"</f>
        <v>－</v>
      </c>
      <c r="X310" s="34">
        <f>22</f>
        <v>22</v>
      </c>
    </row>
    <row r="311" spans="1:24">
      <c r="A311" s="25" t="s">
        <v>1232</v>
      </c>
      <c r="B311" s="25" t="s">
        <v>650</v>
      </c>
      <c r="C311" s="25" t="s">
        <v>651</v>
      </c>
      <c r="D311" s="25" t="s">
        <v>652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331.4</f>
        <v>331.4</v>
      </c>
      <c r="L311" s="32" t="s">
        <v>1110</v>
      </c>
      <c r="M311" s="31">
        <f>351.7</f>
        <v>351.7</v>
      </c>
      <c r="N311" s="32" t="s">
        <v>1114</v>
      </c>
      <c r="O311" s="31">
        <f>331.4</f>
        <v>331.4</v>
      </c>
      <c r="P311" s="32" t="s">
        <v>1110</v>
      </c>
      <c r="Q311" s="31">
        <f>349.6</f>
        <v>349.6</v>
      </c>
      <c r="R311" s="32" t="s">
        <v>681</v>
      </c>
      <c r="S311" s="33">
        <f>343.29</f>
        <v>343.29</v>
      </c>
      <c r="T311" s="30">
        <f>23759170</f>
        <v>23759170</v>
      </c>
      <c r="U311" s="30">
        <f>15661950</f>
        <v>15661950</v>
      </c>
      <c r="V311" s="30">
        <f>8113795216</f>
        <v>8113795216</v>
      </c>
      <c r="W311" s="30">
        <f>5328946939</f>
        <v>5328946939</v>
      </c>
      <c r="X311" s="34">
        <f>22</f>
        <v>22</v>
      </c>
    </row>
    <row r="312" spans="1:24">
      <c r="A312" s="25" t="s">
        <v>1232</v>
      </c>
      <c r="B312" s="25" t="s">
        <v>653</v>
      </c>
      <c r="C312" s="25" t="s">
        <v>654</v>
      </c>
      <c r="D312" s="25" t="s">
        <v>655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1294</f>
        <v>1294</v>
      </c>
      <c r="L312" s="32" t="s">
        <v>1110</v>
      </c>
      <c r="M312" s="31">
        <f>1302</f>
        <v>1302</v>
      </c>
      <c r="N312" s="32" t="s">
        <v>1116</v>
      </c>
      <c r="O312" s="31">
        <f>1187</f>
        <v>1187</v>
      </c>
      <c r="P312" s="32" t="s">
        <v>1114</v>
      </c>
      <c r="Q312" s="31">
        <f>1199</f>
        <v>1199</v>
      </c>
      <c r="R312" s="32" t="s">
        <v>681</v>
      </c>
      <c r="S312" s="33">
        <f>1231.23</f>
        <v>1231.23</v>
      </c>
      <c r="T312" s="30">
        <f>32999759</f>
        <v>32999759</v>
      </c>
      <c r="U312" s="30">
        <f>1750777</f>
        <v>1750777</v>
      </c>
      <c r="V312" s="30">
        <f>40560458676</f>
        <v>40560458676</v>
      </c>
      <c r="W312" s="30">
        <f>2223842649</f>
        <v>2223842649</v>
      </c>
      <c r="X312" s="34">
        <f>22</f>
        <v>22</v>
      </c>
    </row>
    <row r="313" spans="1:24">
      <c r="A313" s="25" t="s">
        <v>1232</v>
      </c>
      <c r="B313" s="25" t="s">
        <v>656</v>
      </c>
      <c r="C313" s="25" t="s">
        <v>657</v>
      </c>
      <c r="D313" s="25" t="s">
        <v>658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1826</f>
        <v>1826</v>
      </c>
      <c r="L313" s="32" t="s">
        <v>1110</v>
      </c>
      <c r="M313" s="31">
        <f>1828</f>
        <v>1828</v>
      </c>
      <c r="N313" s="32" t="s">
        <v>1145</v>
      </c>
      <c r="O313" s="31">
        <f>1747</f>
        <v>1747</v>
      </c>
      <c r="P313" s="32" t="s">
        <v>683</v>
      </c>
      <c r="Q313" s="31">
        <f>1758</f>
        <v>1758</v>
      </c>
      <c r="R313" s="32" t="s">
        <v>681</v>
      </c>
      <c r="S313" s="33">
        <f>1780.91</f>
        <v>1780.91</v>
      </c>
      <c r="T313" s="30">
        <f>69980</f>
        <v>69980</v>
      </c>
      <c r="U313" s="30">
        <f>10001</f>
        <v>10001</v>
      </c>
      <c r="V313" s="30">
        <f>125465982</f>
        <v>125465982</v>
      </c>
      <c r="W313" s="30">
        <f>18056825</f>
        <v>18056825</v>
      </c>
      <c r="X313" s="34">
        <f>22</f>
        <v>22</v>
      </c>
    </row>
    <row r="314" spans="1:24">
      <c r="A314" s="25" t="s">
        <v>1232</v>
      </c>
      <c r="B314" s="25" t="s">
        <v>659</v>
      </c>
      <c r="C314" s="25" t="s">
        <v>660</v>
      </c>
      <c r="D314" s="25" t="s">
        <v>661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2105</f>
        <v>2105</v>
      </c>
      <c r="L314" s="32" t="s">
        <v>1110</v>
      </c>
      <c r="M314" s="31">
        <f>2155</f>
        <v>2155</v>
      </c>
      <c r="N314" s="32" t="s">
        <v>1145</v>
      </c>
      <c r="O314" s="31">
        <f>2070</f>
        <v>2070</v>
      </c>
      <c r="P314" s="32" t="s">
        <v>681</v>
      </c>
      <c r="Q314" s="31">
        <f>2072</f>
        <v>2072</v>
      </c>
      <c r="R314" s="32" t="s">
        <v>681</v>
      </c>
      <c r="S314" s="33">
        <f>2089.82</f>
        <v>2089.8200000000002</v>
      </c>
      <c r="T314" s="30">
        <f>783537</f>
        <v>783537</v>
      </c>
      <c r="U314" s="30">
        <f>768002</f>
        <v>768002</v>
      </c>
      <c r="V314" s="30">
        <f>1629144219</f>
        <v>1629144219</v>
      </c>
      <c r="W314" s="30">
        <f>1596522582</f>
        <v>1596522582</v>
      </c>
      <c r="X314" s="34">
        <f>22</f>
        <v>22</v>
      </c>
    </row>
    <row r="315" spans="1:24">
      <c r="A315" s="25" t="s">
        <v>1232</v>
      </c>
      <c r="B315" s="25" t="s">
        <v>662</v>
      </c>
      <c r="C315" s="25" t="s">
        <v>663</v>
      </c>
      <c r="D315" s="25" t="s">
        <v>948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3860</f>
        <v>3860</v>
      </c>
      <c r="L315" s="32" t="s">
        <v>1110</v>
      </c>
      <c r="M315" s="31">
        <f>4040</f>
        <v>4040</v>
      </c>
      <c r="N315" s="32" t="s">
        <v>875</v>
      </c>
      <c r="O315" s="31">
        <f>3785</f>
        <v>3785</v>
      </c>
      <c r="P315" s="32" t="s">
        <v>683</v>
      </c>
      <c r="Q315" s="31">
        <f>3925</f>
        <v>3925</v>
      </c>
      <c r="R315" s="32" t="s">
        <v>681</v>
      </c>
      <c r="S315" s="33">
        <f>3905.23</f>
        <v>3905.23</v>
      </c>
      <c r="T315" s="30">
        <f>261637</f>
        <v>261637</v>
      </c>
      <c r="U315" s="30">
        <f>156257</f>
        <v>156257</v>
      </c>
      <c r="V315" s="30">
        <f>1032787835</f>
        <v>1032787835</v>
      </c>
      <c r="W315" s="30">
        <f>619527270</f>
        <v>619527270</v>
      </c>
      <c r="X315" s="34">
        <f>22</f>
        <v>22</v>
      </c>
    </row>
    <row r="316" spans="1:24">
      <c r="A316" s="25" t="s">
        <v>1232</v>
      </c>
      <c r="B316" s="25" t="s">
        <v>664</v>
      </c>
      <c r="C316" s="25" t="s">
        <v>665</v>
      </c>
      <c r="D316" s="25" t="s">
        <v>949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2695</f>
        <v>2695</v>
      </c>
      <c r="L316" s="32" t="s">
        <v>1110</v>
      </c>
      <c r="M316" s="31">
        <f>2788</f>
        <v>2788</v>
      </c>
      <c r="N316" s="32" t="s">
        <v>1115</v>
      </c>
      <c r="O316" s="31">
        <f>2601</f>
        <v>2601</v>
      </c>
      <c r="P316" s="32" t="s">
        <v>1114</v>
      </c>
      <c r="Q316" s="31">
        <f>2701</f>
        <v>2701</v>
      </c>
      <c r="R316" s="32" t="s">
        <v>681</v>
      </c>
      <c r="S316" s="33">
        <f>2696.59</f>
        <v>2696.59</v>
      </c>
      <c r="T316" s="30">
        <f>1458282</f>
        <v>1458282</v>
      </c>
      <c r="U316" s="30">
        <f>250002</f>
        <v>250002</v>
      </c>
      <c r="V316" s="30">
        <f>3951274545</f>
        <v>3951274545</v>
      </c>
      <c r="W316" s="30">
        <f>681457336</f>
        <v>681457336</v>
      </c>
      <c r="X316" s="34">
        <f>22</f>
        <v>22</v>
      </c>
    </row>
    <row r="317" spans="1:24">
      <c r="A317" s="25" t="s">
        <v>1232</v>
      </c>
      <c r="B317" s="25" t="s">
        <v>666</v>
      </c>
      <c r="C317" s="25" t="s">
        <v>667</v>
      </c>
      <c r="D317" s="25" t="s">
        <v>668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2358</f>
        <v>2358</v>
      </c>
      <c r="L317" s="32" t="s">
        <v>1110</v>
      </c>
      <c r="M317" s="31">
        <f>2396</f>
        <v>2396</v>
      </c>
      <c r="N317" s="32" t="s">
        <v>875</v>
      </c>
      <c r="O317" s="31">
        <f>2270</f>
        <v>2270</v>
      </c>
      <c r="P317" s="32" t="s">
        <v>679</v>
      </c>
      <c r="Q317" s="31">
        <f>2325</f>
        <v>2325</v>
      </c>
      <c r="R317" s="32" t="s">
        <v>681</v>
      </c>
      <c r="S317" s="33">
        <f>2338</f>
        <v>2338</v>
      </c>
      <c r="T317" s="30">
        <f>19207</f>
        <v>19207</v>
      </c>
      <c r="U317" s="30" t="str">
        <f>"－"</f>
        <v>－</v>
      </c>
      <c r="V317" s="30">
        <f>44663513</f>
        <v>44663513</v>
      </c>
      <c r="W317" s="30" t="str">
        <f>"－"</f>
        <v>－</v>
      </c>
      <c r="X317" s="34">
        <f>22</f>
        <v>22</v>
      </c>
    </row>
    <row r="318" spans="1:24">
      <c r="A318" s="25" t="s">
        <v>1232</v>
      </c>
      <c r="B318" s="25" t="s">
        <v>669</v>
      </c>
      <c r="C318" s="25" t="s">
        <v>670</v>
      </c>
      <c r="D318" s="25" t="s">
        <v>671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1394</f>
        <v>1394</v>
      </c>
      <c r="L318" s="32" t="s">
        <v>1110</v>
      </c>
      <c r="M318" s="31">
        <f>1496</f>
        <v>1496</v>
      </c>
      <c r="N318" s="32" t="s">
        <v>682</v>
      </c>
      <c r="O318" s="31">
        <f>1357</f>
        <v>1357</v>
      </c>
      <c r="P318" s="32" t="s">
        <v>679</v>
      </c>
      <c r="Q318" s="31">
        <f>1393</f>
        <v>1393</v>
      </c>
      <c r="R318" s="32" t="s">
        <v>681</v>
      </c>
      <c r="S318" s="33">
        <f>1423.86</f>
        <v>1423.86</v>
      </c>
      <c r="T318" s="30">
        <f>29051</f>
        <v>29051</v>
      </c>
      <c r="U318" s="30" t="str">
        <f>"－"</f>
        <v>－</v>
      </c>
      <c r="V318" s="30">
        <f>41197228</f>
        <v>41197228</v>
      </c>
      <c r="W318" s="30" t="str">
        <f>"－"</f>
        <v>－</v>
      </c>
      <c r="X318" s="34">
        <f>22</f>
        <v>22</v>
      </c>
    </row>
    <row r="319" spans="1:24">
      <c r="A319" s="25" t="s">
        <v>1232</v>
      </c>
      <c r="B319" s="25" t="s">
        <v>687</v>
      </c>
      <c r="C319" s="25" t="s">
        <v>688</v>
      </c>
      <c r="D319" s="25" t="s">
        <v>689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1881</f>
        <v>1881</v>
      </c>
      <c r="L319" s="32" t="s">
        <v>1110</v>
      </c>
      <c r="M319" s="31">
        <f>13500</f>
        <v>13500</v>
      </c>
      <c r="N319" s="32" t="s">
        <v>1113</v>
      </c>
      <c r="O319" s="31">
        <f>1800</f>
        <v>1800</v>
      </c>
      <c r="P319" s="32" t="s">
        <v>1116</v>
      </c>
      <c r="Q319" s="31">
        <f>2016</f>
        <v>2016</v>
      </c>
      <c r="R319" s="32" t="s">
        <v>681</v>
      </c>
      <c r="S319" s="33">
        <f>2852.64</f>
        <v>2852.64</v>
      </c>
      <c r="T319" s="30">
        <f>821830</f>
        <v>821830</v>
      </c>
      <c r="U319" s="30" t="str">
        <f>"－"</f>
        <v>－</v>
      </c>
      <c r="V319" s="30">
        <f>2845840687</f>
        <v>2845840687</v>
      </c>
      <c r="W319" s="30" t="str">
        <f>"－"</f>
        <v>－</v>
      </c>
      <c r="X319" s="34">
        <f>22</f>
        <v>22</v>
      </c>
    </row>
    <row r="320" spans="1:24">
      <c r="A320" s="25" t="s">
        <v>1232</v>
      </c>
      <c r="B320" s="25" t="s">
        <v>690</v>
      </c>
      <c r="C320" s="25" t="s">
        <v>691</v>
      </c>
      <c r="D320" s="25" t="s">
        <v>692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2833</f>
        <v>2833</v>
      </c>
      <c r="L320" s="32" t="s">
        <v>1110</v>
      </c>
      <c r="M320" s="31">
        <f>22510</f>
        <v>22510</v>
      </c>
      <c r="N320" s="32" t="s">
        <v>1113</v>
      </c>
      <c r="O320" s="31">
        <f>2601</f>
        <v>2601</v>
      </c>
      <c r="P320" s="32" t="s">
        <v>678</v>
      </c>
      <c r="Q320" s="31">
        <f>2855</f>
        <v>2855</v>
      </c>
      <c r="R320" s="32" t="s">
        <v>681</v>
      </c>
      <c r="S320" s="33">
        <f>3946.09</f>
        <v>3946.09</v>
      </c>
      <c r="T320" s="30">
        <f>231061</f>
        <v>231061</v>
      </c>
      <c r="U320" s="30" t="str">
        <f>"－"</f>
        <v>－</v>
      </c>
      <c r="V320" s="30">
        <f>1461066392</f>
        <v>1461066392</v>
      </c>
      <c r="W320" s="30" t="str">
        <f>"－"</f>
        <v>－</v>
      </c>
      <c r="X320" s="34">
        <f>22</f>
        <v>22</v>
      </c>
    </row>
    <row r="321" spans="1:24">
      <c r="A321" s="25" t="s">
        <v>1232</v>
      </c>
      <c r="B321" s="25" t="s">
        <v>693</v>
      </c>
      <c r="C321" s="25" t="s">
        <v>694</v>
      </c>
      <c r="D321" s="25" t="s">
        <v>695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12965</f>
        <v>12965</v>
      </c>
      <c r="L321" s="32" t="s">
        <v>1110</v>
      </c>
      <c r="M321" s="31">
        <f>13225</f>
        <v>13225</v>
      </c>
      <c r="N321" s="32" t="s">
        <v>875</v>
      </c>
      <c r="O321" s="31">
        <f>12820</f>
        <v>12820</v>
      </c>
      <c r="P321" s="32" t="s">
        <v>1116</v>
      </c>
      <c r="Q321" s="31">
        <f>13015</f>
        <v>13015</v>
      </c>
      <c r="R321" s="32" t="s">
        <v>681</v>
      </c>
      <c r="S321" s="33">
        <f>13044.77</f>
        <v>13044.77</v>
      </c>
      <c r="T321" s="30">
        <f>261324</f>
        <v>261324</v>
      </c>
      <c r="U321" s="30">
        <f>116097</f>
        <v>116097</v>
      </c>
      <c r="V321" s="30">
        <f>3401992792</f>
        <v>3401992792</v>
      </c>
      <c r="W321" s="30">
        <f>1508803192</f>
        <v>1508803192</v>
      </c>
      <c r="X321" s="34">
        <f>22</f>
        <v>22</v>
      </c>
    </row>
    <row r="322" spans="1:24">
      <c r="A322" s="25" t="s">
        <v>1232</v>
      </c>
      <c r="B322" s="25" t="s">
        <v>696</v>
      </c>
      <c r="C322" s="25" t="s">
        <v>697</v>
      </c>
      <c r="D322" s="25" t="s">
        <v>698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20660</f>
        <v>20660</v>
      </c>
      <c r="L322" s="32" t="s">
        <v>1110</v>
      </c>
      <c r="M322" s="31">
        <f>22720</f>
        <v>22720</v>
      </c>
      <c r="N322" s="32" t="s">
        <v>777</v>
      </c>
      <c r="O322" s="31">
        <f>20290</f>
        <v>20290</v>
      </c>
      <c r="P322" s="32" t="s">
        <v>1116</v>
      </c>
      <c r="Q322" s="31">
        <f>22230</f>
        <v>22230</v>
      </c>
      <c r="R322" s="32" t="s">
        <v>681</v>
      </c>
      <c r="S322" s="33">
        <f>21662.73</f>
        <v>21662.73</v>
      </c>
      <c r="T322" s="30">
        <f>350689</f>
        <v>350689</v>
      </c>
      <c r="U322" s="30">
        <f>19534</f>
        <v>19534</v>
      </c>
      <c r="V322" s="30">
        <f>7533932795</f>
        <v>7533932795</v>
      </c>
      <c r="W322" s="30">
        <f>413242330</f>
        <v>413242330</v>
      </c>
      <c r="X322" s="34">
        <f>22</f>
        <v>22</v>
      </c>
    </row>
    <row r="323" spans="1:24">
      <c r="A323" s="25" t="s">
        <v>1232</v>
      </c>
      <c r="B323" s="25" t="s">
        <v>699</v>
      </c>
      <c r="C323" s="25" t="s">
        <v>700</v>
      </c>
      <c r="D323" s="25" t="s">
        <v>701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13125</f>
        <v>13125</v>
      </c>
      <c r="L323" s="32" t="s">
        <v>1110</v>
      </c>
      <c r="M323" s="31">
        <f>13500</f>
        <v>13500</v>
      </c>
      <c r="N323" s="32" t="s">
        <v>777</v>
      </c>
      <c r="O323" s="31">
        <f>12890</f>
        <v>12890</v>
      </c>
      <c r="P323" s="32" t="s">
        <v>1116</v>
      </c>
      <c r="Q323" s="31">
        <f>13220</f>
        <v>13220</v>
      </c>
      <c r="R323" s="32" t="s">
        <v>681</v>
      </c>
      <c r="S323" s="33">
        <f>13187.73</f>
        <v>13187.73</v>
      </c>
      <c r="T323" s="30">
        <f>286422</f>
        <v>286422</v>
      </c>
      <c r="U323" s="30">
        <f>98615</f>
        <v>98615</v>
      </c>
      <c r="V323" s="30">
        <f>3779022245</f>
        <v>3779022245</v>
      </c>
      <c r="W323" s="30">
        <f>1304164745</f>
        <v>1304164745</v>
      </c>
      <c r="X323" s="34">
        <f>22</f>
        <v>22</v>
      </c>
    </row>
    <row r="324" spans="1:24">
      <c r="A324" s="25" t="s">
        <v>1232</v>
      </c>
      <c r="B324" s="25" t="s">
        <v>702</v>
      </c>
      <c r="C324" s="25" t="s">
        <v>703</v>
      </c>
      <c r="D324" s="25" t="s">
        <v>704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380.8</f>
        <v>380.8</v>
      </c>
      <c r="L324" s="32" t="s">
        <v>1110</v>
      </c>
      <c r="M324" s="31">
        <f>414.2</f>
        <v>414.2</v>
      </c>
      <c r="N324" s="32" t="s">
        <v>1114</v>
      </c>
      <c r="O324" s="31">
        <f>376.4</f>
        <v>376.4</v>
      </c>
      <c r="P324" s="32" t="s">
        <v>1116</v>
      </c>
      <c r="Q324" s="31">
        <f>408.4</f>
        <v>408.4</v>
      </c>
      <c r="R324" s="32" t="s">
        <v>681</v>
      </c>
      <c r="S324" s="33">
        <f>399.47</f>
        <v>399.47</v>
      </c>
      <c r="T324" s="30">
        <f>7149890</f>
        <v>7149890</v>
      </c>
      <c r="U324" s="30">
        <f>650</f>
        <v>650</v>
      </c>
      <c r="V324" s="30">
        <f>2848184891</f>
        <v>2848184891</v>
      </c>
      <c r="W324" s="30">
        <f>259711</f>
        <v>259711</v>
      </c>
      <c r="X324" s="34">
        <f>22</f>
        <v>22</v>
      </c>
    </row>
    <row r="325" spans="1:24">
      <c r="A325" s="25" t="s">
        <v>1232</v>
      </c>
      <c r="B325" s="25" t="s">
        <v>705</v>
      </c>
      <c r="C325" s="25" t="s">
        <v>706</v>
      </c>
      <c r="D325" s="25" t="s">
        <v>707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2547.5</f>
        <v>2547.5</v>
      </c>
      <c r="L325" s="32" t="s">
        <v>1110</v>
      </c>
      <c r="M325" s="31">
        <f>2597</f>
        <v>2597</v>
      </c>
      <c r="N325" s="32" t="s">
        <v>1112</v>
      </c>
      <c r="O325" s="31">
        <f>2517</f>
        <v>2517</v>
      </c>
      <c r="P325" s="32" t="s">
        <v>1116</v>
      </c>
      <c r="Q325" s="31">
        <f>2554.5</f>
        <v>2554.5</v>
      </c>
      <c r="R325" s="32" t="s">
        <v>681</v>
      </c>
      <c r="S325" s="33">
        <f>2560.52</f>
        <v>2560.52</v>
      </c>
      <c r="T325" s="30">
        <f>1970680</f>
        <v>1970680</v>
      </c>
      <c r="U325" s="30">
        <f>1464480</f>
        <v>1464480</v>
      </c>
      <c r="V325" s="30">
        <f>5039426923</f>
        <v>5039426923</v>
      </c>
      <c r="W325" s="30">
        <f>3744959998</f>
        <v>3744959998</v>
      </c>
      <c r="X325" s="34">
        <f>22</f>
        <v>22</v>
      </c>
    </row>
    <row r="326" spans="1:24">
      <c r="A326" s="25" t="s">
        <v>1232</v>
      </c>
      <c r="B326" s="25" t="s">
        <v>708</v>
      </c>
      <c r="C326" s="25" t="s">
        <v>709</v>
      </c>
      <c r="D326" s="25" t="s">
        <v>710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3961</f>
        <v>3961</v>
      </c>
      <c r="L326" s="32" t="s">
        <v>1110</v>
      </c>
      <c r="M326" s="31">
        <f>4297</f>
        <v>4297</v>
      </c>
      <c r="N326" s="32" t="s">
        <v>1114</v>
      </c>
      <c r="O326" s="31">
        <f>3899</f>
        <v>3899</v>
      </c>
      <c r="P326" s="32" t="s">
        <v>1116</v>
      </c>
      <c r="Q326" s="31">
        <f>4231</f>
        <v>4231</v>
      </c>
      <c r="R326" s="32" t="s">
        <v>681</v>
      </c>
      <c r="S326" s="33">
        <f>4136.23</f>
        <v>4136.2299999999996</v>
      </c>
      <c r="T326" s="30">
        <f>95710</f>
        <v>95710</v>
      </c>
      <c r="U326" s="30" t="str">
        <f>"－"</f>
        <v>－</v>
      </c>
      <c r="V326" s="30">
        <f>393202630</f>
        <v>393202630</v>
      </c>
      <c r="W326" s="30" t="str">
        <f>"－"</f>
        <v>－</v>
      </c>
      <c r="X326" s="34">
        <f>22</f>
        <v>22</v>
      </c>
    </row>
    <row r="327" spans="1:24">
      <c r="A327" s="25" t="s">
        <v>1232</v>
      </c>
      <c r="B327" s="25" t="s">
        <v>711</v>
      </c>
      <c r="C327" s="25" t="s">
        <v>712</v>
      </c>
      <c r="D327" s="25" t="s">
        <v>713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3305</f>
        <v>3305</v>
      </c>
      <c r="L327" s="32" t="s">
        <v>1110</v>
      </c>
      <c r="M327" s="31">
        <f>3420</f>
        <v>3420</v>
      </c>
      <c r="N327" s="32" t="s">
        <v>1115</v>
      </c>
      <c r="O327" s="31">
        <f>3210</f>
        <v>3210</v>
      </c>
      <c r="P327" s="32" t="s">
        <v>679</v>
      </c>
      <c r="Q327" s="31">
        <f>3325</f>
        <v>3325</v>
      </c>
      <c r="R327" s="32" t="s">
        <v>681</v>
      </c>
      <c r="S327" s="33">
        <f>3301.59</f>
        <v>3301.59</v>
      </c>
      <c r="T327" s="30">
        <f>72537</f>
        <v>72537</v>
      </c>
      <c r="U327" s="30">
        <f>70000</f>
        <v>70000</v>
      </c>
      <c r="V327" s="30">
        <f>239061128</f>
        <v>239061128</v>
      </c>
      <c r="W327" s="30">
        <f>230693988</f>
        <v>230693988</v>
      </c>
      <c r="X327" s="34">
        <f>22</f>
        <v>22</v>
      </c>
    </row>
    <row r="328" spans="1:24">
      <c r="A328" s="25" t="s">
        <v>1232</v>
      </c>
      <c r="B328" s="25" t="s">
        <v>714</v>
      </c>
      <c r="C328" s="25" t="s">
        <v>1035</v>
      </c>
      <c r="D328" s="25" t="s">
        <v>1034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1627</f>
        <v>1627</v>
      </c>
      <c r="L328" s="32" t="s">
        <v>1110</v>
      </c>
      <c r="M328" s="31">
        <f>1627</f>
        <v>1627</v>
      </c>
      <c r="N328" s="32" t="s">
        <v>1110</v>
      </c>
      <c r="O328" s="31">
        <f>1457</f>
        <v>1457</v>
      </c>
      <c r="P328" s="32" t="s">
        <v>1114</v>
      </c>
      <c r="Q328" s="31">
        <f>1520</f>
        <v>1520</v>
      </c>
      <c r="R328" s="32" t="s">
        <v>681</v>
      </c>
      <c r="S328" s="33">
        <f>1555.55</f>
        <v>1555.55</v>
      </c>
      <c r="T328" s="30">
        <f>5740</f>
        <v>5740</v>
      </c>
      <c r="U328" s="30" t="str">
        <f>"－"</f>
        <v>－</v>
      </c>
      <c r="V328" s="30">
        <f>8913554</f>
        <v>8913554</v>
      </c>
      <c r="W328" s="30" t="str">
        <f>"－"</f>
        <v>－</v>
      </c>
      <c r="X328" s="34">
        <f>22</f>
        <v>22</v>
      </c>
    </row>
    <row r="329" spans="1:24">
      <c r="A329" s="25" t="s">
        <v>1232</v>
      </c>
      <c r="B329" s="25" t="s">
        <v>715</v>
      </c>
      <c r="C329" s="25" t="s">
        <v>716</v>
      </c>
      <c r="D329" s="25" t="s">
        <v>717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2080</f>
        <v>2080</v>
      </c>
      <c r="L329" s="32" t="s">
        <v>1110</v>
      </c>
      <c r="M329" s="31">
        <f>2116</f>
        <v>2116</v>
      </c>
      <c r="N329" s="32" t="s">
        <v>875</v>
      </c>
      <c r="O329" s="31">
        <f>1935</f>
        <v>1935</v>
      </c>
      <c r="P329" s="32" t="s">
        <v>683</v>
      </c>
      <c r="Q329" s="31">
        <f>2027</f>
        <v>2027</v>
      </c>
      <c r="R329" s="32" t="s">
        <v>681</v>
      </c>
      <c r="S329" s="33">
        <f>2028.55</f>
        <v>2028.55</v>
      </c>
      <c r="T329" s="30">
        <f>83397</f>
        <v>83397</v>
      </c>
      <c r="U329" s="30">
        <f>10</f>
        <v>10</v>
      </c>
      <c r="V329" s="30">
        <f>169383491</f>
        <v>169383491</v>
      </c>
      <c r="W329" s="30">
        <f>20310</f>
        <v>20310</v>
      </c>
      <c r="X329" s="34">
        <f>22</f>
        <v>22</v>
      </c>
    </row>
    <row r="330" spans="1:24">
      <c r="A330" s="25" t="s">
        <v>1232</v>
      </c>
      <c r="B330" s="25" t="s">
        <v>718</v>
      </c>
      <c r="C330" s="25" t="s">
        <v>719</v>
      </c>
      <c r="D330" s="25" t="s">
        <v>720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1730</f>
        <v>1730</v>
      </c>
      <c r="L330" s="32" t="s">
        <v>1110</v>
      </c>
      <c r="M330" s="31">
        <f>1861</f>
        <v>1861</v>
      </c>
      <c r="N330" s="32" t="s">
        <v>1115</v>
      </c>
      <c r="O330" s="31">
        <f>1728</f>
        <v>1728</v>
      </c>
      <c r="P330" s="32" t="s">
        <v>1110</v>
      </c>
      <c r="Q330" s="31">
        <f>1767</f>
        <v>1767</v>
      </c>
      <c r="R330" s="32" t="s">
        <v>681</v>
      </c>
      <c r="S330" s="33">
        <f>1776.86</f>
        <v>1776.86</v>
      </c>
      <c r="T330" s="30">
        <f>22492</f>
        <v>22492</v>
      </c>
      <c r="U330" s="30" t="str">
        <f>"－"</f>
        <v>－</v>
      </c>
      <c r="V330" s="30">
        <f>39936873</f>
        <v>39936873</v>
      </c>
      <c r="W330" s="30" t="str">
        <f>"－"</f>
        <v>－</v>
      </c>
      <c r="X330" s="34">
        <f>22</f>
        <v>22</v>
      </c>
    </row>
    <row r="331" spans="1:24">
      <c r="A331" s="25" t="s">
        <v>1232</v>
      </c>
      <c r="B331" s="25" t="s">
        <v>721</v>
      </c>
      <c r="C331" s="25" t="s">
        <v>722</v>
      </c>
      <c r="D331" s="25" t="s">
        <v>723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3310</f>
        <v>3310</v>
      </c>
      <c r="L331" s="32" t="s">
        <v>1110</v>
      </c>
      <c r="M331" s="31">
        <f>3350</f>
        <v>3350</v>
      </c>
      <c r="N331" s="32" t="s">
        <v>876</v>
      </c>
      <c r="O331" s="31">
        <f>3150</f>
        <v>3150</v>
      </c>
      <c r="P331" s="32" t="s">
        <v>679</v>
      </c>
      <c r="Q331" s="31">
        <f>3245</f>
        <v>3245</v>
      </c>
      <c r="R331" s="32" t="s">
        <v>681</v>
      </c>
      <c r="S331" s="33">
        <f>3245.68</f>
        <v>3245.68</v>
      </c>
      <c r="T331" s="30">
        <f>61271</f>
        <v>61271</v>
      </c>
      <c r="U331" s="30">
        <f>760</f>
        <v>760</v>
      </c>
      <c r="V331" s="30">
        <f>197363780</f>
        <v>197363780</v>
      </c>
      <c r="W331" s="30">
        <f>2451965</f>
        <v>2451965</v>
      </c>
      <c r="X331" s="34">
        <f>22</f>
        <v>22</v>
      </c>
    </row>
    <row r="332" spans="1:24">
      <c r="A332" s="25" t="s">
        <v>1232</v>
      </c>
      <c r="B332" s="25" t="s">
        <v>724</v>
      </c>
      <c r="C332" s="25" t="s">
        <v>1033</v>
      </c>
      <c r="D332" s="25" t="s">
        <v>1032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3095</f>
        <v>3095</v>
      </c>
      <c r="L332" s="32" t="s">
        <v>1110</v>
      </c>
      <c r="M332" s="31">
        <f>3205</f>
        <v>3205</v>
      </c>
      <c r="N332" s="32" t="s">
        <v>1115</v>
      </c>
      <c r="O332" s="31">
        <f>3025</f>
        <v>3025</v>
      </c>
      <c r="P332" s="32" t="s">
        <v>683</v>
      </c>
      <c r="Q332" s="31">
        <f>3090</f>
        <v>3090</v>
      </c>
      <c r="R332" s="32" t="s">
        <v>681</v>
      </c>
      <c r="S332" s="33">
        <f>3112.27</f>
        <v>3112.27</v>
      </c>
      <c r="T332" s="30">
        <f>2906593</f>
        <v>2906593</v>
      </c>
      <c r="U332" s="30">
        <f>938079</f>
        <v>938079</v>
      </c>
      <c r="V332" s="30">
        <f>9044201016</f>
        <v>9044201016</v>
      </c>
      <c r="W332" s="30">
        <f>2910865301</f>
        <v>2910865301</v>
      </c>
      <c r="X332" s="34">
        <f>22</f>
        <v>22</v>
      </c>
    </row>
    <row r="333" spans="1:24">
      <c r="A333" s="25" t="s">
        <v>1232</v>
      </c>
      <c r="B333" s="25" t="s">
        <v>725</v>
      </c>
      <c r="C333" s="25" t="s">
        <v>726</v>
      </c>
      <c r="D333" s="25" t="s">
        <v>727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35500</f>
        <v>35500</v>
      </c>
      <c r="L333" s="32" t="s">
        <v>1110</v>
      </c>
      <c r="M333" s="31">
        <f>36580</f>
        <v>36580</v>
      </c>
      <c r="N333" s="32" t="s">
        <v>1115</v>
      </c>
      <c r="O333" s="31">
        <f>34780</f>
        <v>34780</v>
      </c>
      <c r="P333" s="32" t="s">
        <v>679</v>
      </c>
      <c r="Q333" s="31">
        <f>35950</f>
        <v>35950</v>
      </c>
      <c r="R333" s="32" t="s">
        <v>681</v>
      </c>
      <c r="S333" s="33">
        <f>35747.89</f>
        <v>35747.89</v>
      </c>
      <c r="T333" s="30">
        <f>31</f>
        <v>31</v>
      </c>
      <c r="U333" s="30" t="str">
        <f>"－"</f>
        <v>－</v>
      </c>
      <c r="V333" s="30">
        <f>1110020</f>
        <v>1110020</v>
      </c>
      <c r="W333" s="30" t="str">
        <f>"－"</f>
        <v>－</v>
      </c>
      <c r="X333" s="34">
        <f>19</f>
        <v>19</v>
      </c>
    </row>
    <row r="334" spans="1:24">
      <c r="A334" s="25" t="s">
        <v>1232</v>
      </c>
      <c r="B334" s="25" t="s">
        <v>728</v>
      </c>
      <c r="C334" s="25" t="s">
        <v>729</v>
      </c>
      <c r="D334" s="25" t="s">
        <v>730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2897</f>
        <v>2897</v>
      </c>
      <c r="L334" s="32" t="s">
        <v>1110</v>
      </c>
      <c r="M334" s="31">
        <f>2935</f>
        <v>2935</v>
      </c>
      <c r="N334" s="32" t="s">
        <v>1115</v>
      </c>
      <c r="O334" s="31">
        <f>2744</f>
        <v>2744</v>
      </c>
      <c r="P334" s="32" t="s">
        <v>1114</v>
      </c>
      <c r="Q334" s="31">
        <f>2835</f>
        <v>2835</v>
      </c>
      <c r="R334" s="32" t="s">
        <v>681</v>
      </c>
      <c r="S334" s="33">
        <f>2828.82</f>
        <v>2828.82</v>
      </c>
      <c r="T334" s="30">
        <f>19120</f>
        <v>19120</v>
      </c>
      <c r="U334" s="30">
        <f>2</f>
        <v>2</v>
      </c>
      <c r="V334" s="30">
        <f>54498163</f>
        <v>54498163</v>
      </c>
      <c r="W334" s="30">
        <f>5728</f>
        <v>5728</v>
      </c>
      <c r="X334" s="34">
        <f>22</f>
        <v>22</v>
      </c>
    </row>
    <row r="335" spans="1:24">
      <c r="A335" s="25" t="s">
        <v>1232</v>
      </c>
      <c r="B335" s="25" t="s">
        <v>731</v>
      </c>
      <c r="C335" s="25" t="s">
        <v>732</v>
      </c>
      <c r="D335" s="25" t="s">
        <v>733</v>
      </c>
      <c r="E335" s="26" t="s">
        <v>1076</v>
      </c>
      <c r="F335" s="27" t="s">
        <v>1077</v>
      </c>
      <c r="G335" s="28" t="s">
        <v>43</v>
      </c>
      <c r="H335" s="29"/>
      <c r="I335" s="29" t="s">
        <v>44</v>
      </c>
      <c r="J335" s="30">
        <v>1</v>
      </c>
      <c r="K335" s="31">
        <f>3685</f>
        <v>3685</v>
      </c>
      <c r="L335" s="32" t="s">
        <v>1110</v>
      </c>
      <c r="M335" s="31">
        <f>3840</f>
        <v>3840</v>
      </c>
      <c r="N335" s="32" t="s">
        <v>1115</v>
      </c>
      <c r="O335" s="31">
        <f>3595</f>
        <v>3595</v>
      </c>
      <c r="P335" s="32" t="s">
        <v>1116</v>
      </c>
      <c r="Q335" s="31">
        <f>3725</f>
        <v>3725</v>
      </c>
      <c r="R335" s="32" t="s">
        <v>1113</v>
      </c>
      <c r="S335" s="33">
        <f>3721.67</f>
        <v>3721.67</v>
      </c>
      <c r="T335" s="30">
        <f>1998308</f>
        <v>1998308</v>
      </c>
      <c r="U335" s="30">
        <f>116818</f>
        <v>116818</v>
      </c>
      <c r="V335" s="30">
        <f>7456838062</f>
        <v>7456838062</v>
      </c>
      <c r="W335" s="30">
        <f>437145052</f>
        <v>437145052</v>
      </c>
      <c r="X335" s="34">
        <f>6</f>
        <v>6</v>
      </c>
    </row>
    <row r="336" spans="1:24">
      <c r="A336" s="25" t="s">
        <v>1232</v>
      </c>
      <c r="B336" s="25" t="s">
        <v>731</v>
      </c>
      <c r="C336" s="25" t="s">
        <v>732</v>
      </c>
      <c r="D336" s="25" t="s">
        <v>733</v>
      </c>
      <c r="E336" s="26" t="s">
        <v>1076</v>
      </c>
      <c r="F336" s="27" t="s">
        <v>1077</v>
      </c>
      <c r="G336" s="28" t="s">
        <v>43</v>
      </c>
      <c r="H336" s="29"/>
      <c r="I336" s="29" t="s">
        <v>44</v>
      </c>
      <c r="J336" s="30">
        <v>1</v>
      </c>
      <c r="K336" s="31">
        <f>1896</f>
        <v>1896</v>
      </c>
      <c r="L336" s="32" t="s">
        <v>876</v>
      </c>
      <c r="M336" s="31">
        <f>1962</f>
        <v>1962</v>
      </c>
      <c r="N336" s="32" t="s">
        <v>875</v>
      </c>
      <c r="O336" s="31">
        <f>1763</f>
        <v>1763</v>
      </c>
      <c r="P336" s="32" t="s">
        <v>683</v>
      </c>
      <c r="Q336" s="31">
        <f>1916</f>
        <v>1916</v>
      </c>
      <c r="R336" s="32" t="s">
        <v>681</v>
      </c>
      <c r="S336" s="33">
        <f>1860</f>
        <v>1860</v>
      </c>
      <c r="T336" s="30">
        <f>9865497</f>
        <v>9865497</v>
      </c>
      <c r="U336" s="30">
        <f>1339588</f>
        <v>1339588</v>
      </c>
      <c r="V336" s="30">
        <f>18428046250</f>
        <v>18428046250</v>
      </c>
      <c r="W336" s="30">
        <f>2501176213</f>
        <v>2501176213</v>
      </c>
      <c r="X336" s="34">
        <f>16</f>
        <v>16</v>
      </c>
    </row>
    <row r="337" spans="1:24">
      <c r="A337" s="25" t="s">
        <v>1232</v>
      </c>
      <c r="B337" s="25" t="s">
        <v>734</v>
      </c>
      <c r="C337" s="25" t="s">
        <v>735</v>
      </c>
      <c r="D337" s="25" t="s">
        <v>736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2260</f>
        <v>2260</v>
      </c>
      <c r="L337" s="32" t="s">
        <v>1110</v>
      </c>
      <c r="M337" s="31">
        <f>2350</f>
        <v>2350</v>
      </c>
      <c r="N337" s="32" t="s">
        <v>777</v>
      </c>
      <c r="O337" s="31">
        <f>2218</f>
        <v>2218</v>
      </c>
      <c r="P337" s="32" t="s">
        <v>679</v>
      </c>
      <c r="Q337" s="31">
        <f>2311</f>
        <v>2311</v>
      </c>
      <c r="R337" s="32" t="s">
        <v>681</v>
      </c>
      <c r="S337" s="33">
        <f>2292.27</f>
        <v>2292.27</v>
      </c>
      <c r="T337" s="30">
        <f>18350</f>
        <v>18350</v>
      </c>
      <c r="U337" s="30" t="str">
        <f>"－"</f>
        <v>－</v>
      </c>
      <c r="V337" s="30">
        <f>42187178</f>
        <v>42187178</v>
      </c>
      <c r="W337" s="30" t="str">
        <f>"－"</f>
        <v>－</v>
      </c>
      <c r="X337" s="34">
        <f>22</f>
        <v>22</v>
      </c>
    </row>
    <row r="338" spans="1:24">
      <c r="A338" s="25" t="s">
        <v>1232</v>
      </c>
      <c r="B338" s="25" t="s">
        <v>737</v>
      </c>
      <c r="C338" s="25" t="s">
        <v>738</v>
      </c>
      <c r="D338" s="25" t="s">
        <v>739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</v>
      </c>
      <c r="K338" s="31">
        <f>1708</f>
        <v>1708</v>
      </c>
      <c r="L338" s="32" t="s">
        <v>1110</v>
      </c>
      <c r="M338" s="31">
        <f>1783</f>
        <v>1783</v>
      </c>
      <c r="N338" s="32" t="s">
        <v>1115</v>
      </c>
      <c r="O338" s="31">
        <f>1628</f>
        <v>1628</v>
      </c>
      <c r="P338" s="32" t="s">
        <v>1114</v>
      </c>
      <c r="Q338" s="31">
        <f>1663</f>
        <v>1663</v>
      </c>
      <c r="R338" s="32" t="s">
        <v>681</v>
      </c>
      <c r="S338" s="33">
        <f>1708.68</f>
        <v>1708.68</v>
      </c>
      <c r="T338" s="30">
        <f>17882</f>
        <v>17882</v>
      </c>
      <c r="U338" s="30" t="str">
        <f>"－"</f>
        <v>－</v>
      </c>
      <c r="V338" s="30">
        <f>30316575</f>
        <v>30316575</v>
      </c>
      <c r="W338" s="30" t="str">
        <f>"－"</f>
        <v>－</v>
      </c>
      <c r="X338" s="34">
        <f>22</f>
        <v>22</v>
      </c>
    </row>
    <row r="339" spans="1:24">
      <c r="A339" s="25" t="s">
        <v>1232</v>
      </c>
      <c r="B339" s="25" t="s">
        <v>740</v>
      </c>
      <c r="C339" s="25" t="s">
        <v>741</v>
      </c>
      <c r="D339" s="25" t="s">
        <v>742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5545</f>
        <v>5545</v>
      </c>
      <c r="L339" s="32" t="s">
        <v>1110</v>
      </c>
      <c r="M339" s="31">
        <f>5718</f>
        <v>5718</v>
      </c>
      <c r="N339" s="32" t="s">
        <v>1114</v>
      </c>
      <c r="O339" s="31">
        <f>5545</f>
        <v>5545</v>
      </c>
      <c r="P339" s="32" t="s">
        <v>1110</v>
      </c>
      <c r="Q339" s="31">
        <f>5690</f>
        <v>5690</v>
      </c>
      <c r="R339" s="32" t="s">
        <v>681</v>
      </c>
      <c r="S339" s="33">
        <f>5644.86</f>
        <v>5644.86</v>
      </c>
      <c r="T339" s="30">
        <f>784470</f>
        <v>784470</v>
      </c>
      <c r="U339" s="30">
        <f>781900</f>
        <v>781900</v>
      </c>
      <c r="V339" s="30">
        <f>4435148327</f>
        <v>4435148327</v>
      </c>
      <c r="W339" s="30">
        <f>4420574957</f>
        <v>4420574957</v>
      </c>
      <c r="X339" s="34">
        <f>21</f>
        <v>21</v>
      </c>
    </row>
    <row r="340" spans="1:24">
      <c r="A340" s="25" t="s">
        <v>1232</v>
      </c>
      <c r="B340" s="25" t="s">
        <v>743</v>
      </c>
      <c r="C340" s="25" t="s">
        <v>744</v>
      </c>
      <c r="D340" s="25" t="s">
        <v>745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10</v>
      </c>
      <c r="K340" s="31">
        <f>3796</f>
        <v>3796</v>
      </c>
      <c r="L340" s="32" t="s">
        <v>1110</v>
      </c>
      <c r="M340" s="31">
        <f>3810</f>
        <v>3810</v>
      </c>
      <c r="N340" s="32" t="s">
        <v>1116</v>
      </c>
      <c r="O340" s="31">
        <f>3642</f>
        <v>3642</v>
      </c>
      <c r="P340" s="32" t="s">
        <v>681</v>
      </c>
      <c r="Q340" s="31">
        <f>3648</f>
        <v>3648</v>
      </c>
      <c r="R340" s="32" t="s">
        <v>681</v>
      </c>
      <c r="S340" s="33">
        <f>3711.77</f>
        <v>3711.77</v>
      </c>
      <c r="T340" s="30">
        <f>3231860</f>
        <v>3231860</v>
      </c>
      <c r="U340" s="30">
        <f>3203950</f>
        <v>3203950</v>
      </c>
      <c r="V340" s="30">
        <f>12098864112</f>
        <v>12098864112</v>
      </c>
      <c r="W340" s="30">
        <f>11995072502</f>
        <v>11995072502</v>
      </c>
      <c r="X340" s="34">
        <f>22</f>
        <v>22</v>
      </c>
    </row>
    <row r="341" spans="1:24">
      <c r="A341" s="25" t="s">
        <v>1232</v>
      </c>
      <c r="B341" s="25" t="s">
        <v>746</v>
      </c>
      <c r="C341" s="25" t="s">
        <v>747</v>
      </c>
      <c r="D341" s="25" t="s">
        <v>748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639.1</f>
        <v>639.1</v>
      </c>
      <c r="L341" s="32" t="s">
        <v>1110</v>
      </c>
      <c r="M341" s="31">
        <f>641.7</f>
        <v>641.70000000000005</v>
      </c>
      <c r="N341" s="32" t="s">
        <v>1116</v>
      </c>
      <c r="O341" s="31">
        <f>615</f>
        <v>615</v>
      </c>
      <c r="P341" s="32" t="s">
        <v>1114</v>
      </c>
      <c r="Q341" s="31">
        <f>615.7</f>
        <v>615.70000000000005</v>
      </c>
      <c r="R341" s="32" t="s">
        <v>681</v>
      </c>
      <c r="S341" s="33">
        <f>625.78</f>
        <v>625.78</v>
      </c>
      <c r="T341" s="30">
        <f>286260</f>
        <v>286260</v>
      </c>
      <c r="U341" s="30">
        <f>239000</f>
        <v>239000</v>
      </c>
      <c r="V341" s="30">
        <f>179632171</f>
        <v>179632171</v>
      </c>
      <c r="W341" s="30">
        <f>150133747</f>
        <v>150133747</v>
      </c>
      <c r="X341" s="34">
        <f>22</f>
        <v>22</v>
      </c>
    </row>
    <row r="342" spans="1:24">
      <c r="A342" s="25" t="s">
        <v>1232</v>
      </c>
      <c r="B342" s="25" t="s">
        <v>1236</v>
      </c>
      <c r="C342" s="25" t="s">
        <v>1235</v>
      </c>
      <c r="D342" s="25" t="s">
        <v>1234</v>
      </c>
      <c r="E342" s="26" t="s">
        <v>672</v>
      </c>
      <c r="F342" s="27" t="s">
        <v>673</v>
      </c>
      <c r="G342" s="28" t="s">
        <v>1233</v>
      </c>
      <c r="H342" s="29"/>
      <c r="I342" s="29" t="s">
        <v>44</v>
      </c>
      <c r="J342" s="30">
        <v>1</v>
      </c>
      <c r="K342" s="31">
        <f>10100</f>
        <v>10100</v>
      </c>
      <c r="L342" s="32" t="s">
        <v>681</v>
      </c>
      <c r="M342" s="31">
        <f>11125</f>
        <v>11125</v>
      </c>
      <c r="N342" s="32" t="s">
        <v>681</v>
      </c>
      <c r="O342" s="31">
        <f>10070</f>
        <v>10070</v>
      </c>
      <c r="P342" s="32" t="s">
        <v>681</v>
      </c>
      <c r="Q342" s="31">
        <f>11125</f>
        <v>11125</v>
      </c>
      <c r="R342" s="32" t="s">
        <v>681</v>
      </c>
      <c r="S342" s="33">
        <f>11125</f>
        <v>11125</v>
      </c>
      <c r="T342" s="30">
        <f>3456</f>
        <v>3456</v>
      </c>
      <c r="U342" s="30" t="str">
        <f>"－"</f>
        <v>－</v>
      </c>
      <c r="V342" s="30">
        <f>34883545</f>
        <v>34883545</v>
      </c>
      <c r="W342" s="30" t="str">
        <f>"－"</f>
        <v>－</v>
      </c>
      <c r="X342" s="34">
        <f>1</f>
        <v>1</v>
      </c>
    </row>
    <row r="343" spans="1:24">
      <c r="A343" s="25" t="s">
        <v>1232</v>
      </c>
      <c r="B343" s="25" t="s">
        <v>749</v>
      </c>
      <c r="C343" s="25" t="s">
        <v>750</v>
      </c>
      <c r="D343" s="25" t="s">
        <v>751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2485</f>
        <v>2485</v>
      </c>
      <c r="L343" s="32" t="s">
        <v>1110</v>
      </c>
      <c r="M343" s="31">
        <f>2585</f>
        <v>2585</v>
      </c>
      <c r="N343" s="32" t="s">
        <v>875</v>
      </c>
      <c r="O343" s="31">
        <f>2376</f>
        <v>2376</v>
      </c>
      <c r="P343" s="32" t="s">
        <v>679</v>
      </c>
      <c r="Q343" s="31">
        <f>2499</f>
        <v>2499</v>
      </c>
      <c r="R343" s="32" t="s">
        <v>681</v>
      </c>
      <c r="S343" s="33">
        <f>2492.86</f>
        <v>2492.86</v>
      </c>
      <c r="T343" s="30">
        <f>4397</f>
        <v>4397</v>
      </c>
      <c r="U343" s="30" t="str">
        <f>"－"</f>
        <v>－</v>
      </c>
      <c r="V343" s="30">
        <f>11033147</f>
        <v>11033147</v>
      </c>
      <c r="W343" s="30" t="str">
        <f>"－"</f>
        <v>－</v>
      </c>
      <c r="X343" s="34">
        <f>22</f>
        <v>22</v>
      </c>
    </row>
    <row r="344" spans="1:24">
      <c r="A344" s="25" t="s">
        <v>1232</v>
      </c>
      <c r="B344" s="25" t="s">
        <v>752</v>
      </c>
      <c r="C344" s="25" t="s">
        <v>1031</v>
      </c>
      <c r="D344" s="25" t="s">
        <v>1030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2322</f>
        <v>2322</v>
      </c>
      <c r="L344" s="32" t="s">
        <v>1110</v>
      </c>
      <c r="M344" s="31">
        <f>2390</f>
        <v>2390</v>
      </c>
      <c r="N344" s="32" t="s">
        <v>678</v>
      </c>
      <c r="O344" s="31">
        <f>2197</f>
        <v>2197</v>
      </c>
      <c r="P344" s="32" t="s">
        <v>679</v>
      </c>
      <c r="Q344" s="31">
        <f>2267</f>
        <v>2267</v>
      </c>
      <c r="R344" s="32" t="s">
        <v>681</v>
      </c>
      <c r="S344" s="33">
        <f>2291.32</f>
        <v>2291.3200000000002</v>
      </c>
      <c r="T344" s="30">
        <f>2463309</f>
        <v>2463309</v>
      </c>
      <c r="U344" s="30">
        <f>160001</f>
        <v>160001</v>
      </c>
      <c r="V344" s="30">
        <f>5659478686</f>
        <v>5659478686</v>
      </c>
      <c r="W344" s="30">
        <f>360218305</f>
        <v>360218305</v>
      </c>
      <c r="X344" s="34">
        <f>22</f>
        <v>22</v>
      </c>
    </row>
    <row r="345" spans="1:24">
      <c r="A345" s="25" t="s">
        <v>1232</v>
      </c>
      <c r="B345" s="25" t="s">
        <v>753</v>
      </c>
      <c r="C345" s="25" t="s">
        <v>754</v>
      </c>
      <c r="D345" s="25" t="s">
        <v>755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8293</f>
        <v>8293</v>
      </c>
      <c r="L345" s="32" t="s">
        <v>1110</v>
      </c>
      <c r="M345" s="31">
        <f>8570</f>
        <v>8570</v>
      </c>
      <c r="N345" s="32" t="s">
        <v>777</v>
      </c>
      <c r="O345" s="31">
        <f>8176</f>
        <v>8176</v>
      </c>
      <c r="P345" s="32" t="s">
        <v>1145</v>
      </c>
      <c r="Q345" s="31">
        <f>8530</f>
        <v>8530</v>
      </c>
      <c r="R345" s="32" t="s">
        <v>681</v>
      </c>
      <c r="S345" s="33">
        <f>8450</f>
        <v>8450</v>
      </c>
      <c r="T345" s="30">
        <f>852053</f>
        <v>852053</v>
      </c>
      <c r="U345" s="30">
        <f>837840</f>
        <v>837840</v>
      </c>
      <c r="V345" s="30">
        <f>7206257536</f>
        <v>7206257536</v>
      </c>
      <c r="W345" s="30">
        <f>7085847443</f>
        <v>7085847443</v>
      </c>
      <c r="X345" s="34">
        <f>22</f>
        <v>22</v>
      </c>
    </row>
    <row r="346" spans="1:24">
      <c r="A346" s="25" t="s">
        <v>1232</v>
      </c>
      <c r="B346" s="25" t="s">
        <v>756</v>
      </c>
      <c r="C346" s="25" t="s">
        <v>757</v>
      </c>
      <c r="D346" s="25" t="s">
        <v>758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5678</f>
        <v>5678</v>
      </c>
      <c r="L346" s="32" t="s">
        <v>1110</v>
      </c>
      <c r="M346" s="31">
        <f>5700</f>
        <v>5700</v>
      </c>
      <c r="N346" s="32" t="s">
        <v>1116</v>
      </c>
      <c r="O346" s="31">
        <f>5440</f>
        <v>5440</v>
      </c>
      <c r="P346" s="32" t="s">
        <v>681</v>
      </c>
      <c r="Q346" s="31">
        <f>5473</f>
        <v>5473</v>
      </c>
      <c r="R346" s="32" t="s">
        <v>681</v>
      </c>
      <c r="S346" s="33">
        <f>5542.82</f>
        <v>5542.82</v>
      </c>
      <c r="T346" s="30">
        <f>500451</f>
        <v>500451</v>
      </c>
      <c r="U346" s="30">
        <f>489341</f>
        <v>489341</v>
      </c>
      <c r="V346" s="30">
        <f>2758702888</f>
        <v>2758702888</v>
      </c>
      <c r="W346" s="30">
        <f>2696998858</f>
        <v>2696998858</v>
      </c>
      <c r="X346" s="34">
        <f>22</f>
        <v>22</v>
      </c>
    </row>
    <row r="347" spans="1:24">
      <c r="A347" s="25" t="s">
        <v>1232</v>
      </c>
      <c r="B347" s="25" t="s">
        <v>762</v>
      </c>
      <c r="C347" s="25" t="s">
        <v>763</v>
      </c>
      <c r="D347" s="25" t="s">
        <v>764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26615</f>
        <v>26615</v>
      </c>
      <c r="L347" s="32" t="s">
        <v>1110</v>
      </c>
      <c r="M347" s="31">
        <f>29240</f>
        <v>29240</v>
      </c>
      <c r="N347" s="32" t="s">
        <v>777</v>
      </c>
      <c r="O347" s="31">
        <f>26150</f>
        <v>26150</v>
      </c>
      <c r="P347" s="32" t="s">
        <v>1116</v>
      </c>
      <c r="Q347" s="31">
        <f>28600</f>
        <v>28600</v>
      </c>
      <c r="R347" s="32" t="s">
        <v>681</v>
      </c>
      <c r="S347" s="33">
        <f>27881.14</f>
        <v>27881.14</v>
      </c>
      <c r="T347" s="30">
        <f>297620</f>
        <v>297620</v>
      </c>
      <c r="U347" s="30">
        <f>80200</f>
        <v>80200</v>
      </c>
      <c r="V347" s="30">
        <f>8284245860</f>
        <v>8284245860</v>
      </c>
      <c r="W347" s="30">
        <f>2140778600</f>
        <v>2140778600</v>
      </c>
      <c r="X347" s="34">
        <f>22</f>
        <v>22</v>
      </c>
    </row>
    <row r="348" spans="1:24">
      <c r="A348" s="25" t="s">
        <v>1232</v>
      </c>
      <c r="B348" s="25" t="s">
        <v>765</v>
      </c>
      <c r="C348" s="25" t="s">
        <v>766</v>
      </c>
      <c r="D348" s="25" t="s">
        <v>767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</v>
      </c>
      <c r="K348" s="31">
        <f>12325</f>
        <v>12325</v>
      </c>
      <c r="L348" s="32" t="s">
        <v>1110</v>
      </c>
      <c r="M348" s="31">
        <f>12670</f>
        <v>12670</v>
      </c>
      <c r="N348" s="32" t="s">
        <v>777</v>
      </c>
      <c r="O348" s="31">
        <f>12095</f>
        <v>12095</v>
      </c>
      <c r="P348" s="32" t="s">
        <v>1116</v>
      </c>
      <c r="Q348" s="31">
        <f>12425</f>
        <v>12425</v>
      </c>
      <c r="R348" s="32" t="s">
        <v>681</v>
      </c>
      <c r="S348" s="33">
        <f>12385</f>
        <v>12385</v>
      </c>
      <c r="T348" s="30">
        <f>364397</f>
        <v>364397</v>
      </c>
      <c r="U348" s="30">
        <f>95311</f>
        <v>95311</v>
      </c>
      <c r="V348" s="30">
        <f>4527049330</f>
        <v>4527049330</v>
      </c>
      <c r="W348" s="30">
        <f>1200296055</f>
        <v>1200296055</v>
      </c>
      <c r="X348" s="34">
        <f>22</f>
        <v>22</v>
      </c>
    </row>
    <row r="349" spans="1:24">
      <c r="A349" s="25" t="s">
        <v>1232</v>
      </c>
      <c r="B349" s="25" t="s">
        <v>768</v>
      </c>
      <c r="C349" s="25" t="s">
        <v>769</v>
      </c>
      <c r="D349" s="25" t="s">
        <v>770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18410</f>
        <v>18410</v>
      </c>
      <c r="L349" s="32" t="s">
        <v>1110</v>
      </c>
      <c r="M349" s="31">
        <f>18735</f>
        <v>18735</v>
      </c>
      <c r="N349" s="32" t="s">
        <v>1116</v>
      </c>
      <c r="O349" s="31">
        <f>17895</f>
        <v>17895</v>
      </c>
      <c r="P349" s="32" t="s">
        <v>777</v>
      </c>
      <c r="Q349" s="31">
        <f>18235</f>
        <v>18235</v>
      </c>
      <c r="R349" s="32" t="s">
        <v>681</v>
      </c>
      <c r="S349" s="33">
        <f>18311.59</f>
        <v>18311.59</v>
      </c>
      <c r="T349" s="30">
        <f>84938</f>
        <v>84938</v>
      </c>
      <c r="U349" s="30">
        <f>30411</f>
        <v>30411</v>
      </c>
      <c r="V349" s="30">
        <f>1555087037</f>
        <v>1555087037</v>
      </c>
      <c r="W349" s="30">
        <f>556938557</f>
        <v>556938557</v>
      </c>
      <c r="X349" s="34">
        <f>22</f>
        <v>22</v>
      </c>
    </row>
    <row r="350" spans="1:24">
      <c r="A350" s="25" t="s">
        <v>1232</v>
      </c>
      <c r="B350" s="25" t="s">
        <v>771</v>
      </c>
      <c r="C350" s="25" t="s">
        <v>772</v>
      </c>
      <c r="D350" s="25" t="s">
        <v>773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4143</f>
        <v>4143</v>
      </c>
      <c r="L350" s="32" t="s">
        <v>1110</v>
      </c>
      <c r="M350" s="31">
        <f>4199</f>
        <v>4199</v>
      </c>
      <c r="N350" s="32" t="s">
        <v>1145</v>
      </c>
      <c r="O350" s="31">
        <f>3999</f>
        <v>3999</v>
      </c>
      <c r="P350" s="32" t="s">
        <v>681</v>
      </c>
      <c r="Q350" s="31">
        <f>3999</f>
        <v>3999</v>
      </c>
      <c r="R350" s="32" t="s">
        <v>681</v>
      </c>
      <c r="S350" s="33">
        <f>4067</f>
        <v>4067</v>
      </c>
      <c r="T350" s="30">
        <f>210640</f>
        <v>210640</v>
      </c>
      <c r="U350" s="30">
        <f>207010</f>
        <v>207010</v>
      </c>
      <c r="V350" s="30">
        <f>846607980</f>
        <v>846607980</v>
      </c>
      <c r="W350" s="30">
        <f>831687190</f>
        <v>831687190</v>
      </c>
      <c r="X350" s="34">
        <f>16</f>
        <v>16</v>
      </c>
    </row>
    <row r="351" spans="1:24">
      <c r="A351" s="25" t="s">
        <v>1232</v>
      </c>
      <c r="B351" s="25" t="s">
        <v>774</v>
      </c>
      <c r="C351" s="25" t="s">
        <v>775</v>
      </c>
      <c r="D351" s="25" t="s">
        <v>776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5354</f>
        <v>5354</v>
      </c>
      <c r="L351" s="32" t="s">
        <v>1110</v>
      </c>
      <c r="M351" s="31">
        <f>5404</f>
        <v>5404</v>
      </c>
      <c r="N351" s="32" t="s">
        <v>1115</v>
      </c>
      <c r="O351" s="31">
        <f>5188</f>
        <v>5188</v>
      </c>
      <c r="P351" s="32" t="s">
        <v>681</v>
      </c>
      <c r="Q351" s="31">
        <f>5199</f>
        <v>5199</v>
      </c>
      <c r="R351" s="32" t="s">
        <v>681</v>
      </c>
      <c r="S351" s="33">
        <f>5268.91</f>
        <v>5268.91</v>
      </c>
      <c r="T351" s="30">
        <f>74540</f>
        <v>74540</v>
      </c>
      <c r="U351" s="30">
        <f>33020</f>
        <v>33020</v>
      </c>
      <c r="V351" s="30">
        <f>392500750</f>
        <v>392500750</v>
      </c>
      <c r="W351" s="30">
        <f>174882850</f>
        <v>174882850</v>
      </c>
      <c r="X351" s="34">
        <f>22</f>
        <v>22</v>
      </c>
    </row>
    <row r="352" spans="1:24">
      <c r="A352" s="25" t="s">
        <v>1232</v>
      </c>
      <c r="B352" s="25" t="s">
        <v>786</v>
      </c>
      <c r="C352" s="25" t="s">
        <v>787</v>
      </c>
      <c r="D352" s="25" t="s">
        <v>788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2575</f>
        <v>2575</v>
      </c>
      <c r="L352" s="32" t="s">
        <v>1110</v>
      </c>
      <c r="M352" s="31">
        <f>2652.5</f>
        <v>2652.5</v>
      </c>
      <c r="N352" s="32" t="s">
        <v>777</v>
      </c>
      <c r="O352" s="31">
        <f>2532.5</f>
        <v>2532.5</v>
      </c>
      <c r="P352" s="32" t="s">
        <v>1116</v>
      </c>
      <c r="Q352" s="31">
        <f>2609</f>
        <v>2609</v>
      </c>
      <c r="R352" s="32" t="s">
        <v>681</v>
      </c>
      <c r="S352" s="33">
        <f>2594.61</f>
        <v>2594.61</v>
      </c>
      <c r="T352" s="30">
        <f>796660</f>
        <v>796660</v>
      </c>
      <c r="U352" s="30">
        <f>300</f>
        <v>300</v>
      </c>
      <c r="V352" s="30">
        <f>2068400110</f>
        <v>2068400110</v>
      </c>
      <c r="W352" s="30">
        <f>794400</f>
        <v>794400</v>
      </c>
      <c r="X352" s="34">
        <f>22</f>
        <v>22</v>
      </c>
    </row>
    <row r="353" spans="1:24">
      <c r="A353" s="25" t="s">
        <v>1232</v>
      </c>
      <c r="B353" s="25" t="s">
        <v>789</v>
      </c>
      <c r="C353" s="25" t="s">
        <v>790</v>
      </c>
      <c r="D353" s="25" t="s">
        <v>791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2196</f>
        <v>2196</v>
      </c>
      <c r="L353" s="32" t="s">
        <v>1110</v>
      </c>
      <c r="M353" s="31">
        <f>2246</f>
        <v>2246</v>
      </c>
      <c r="N353" s="32" t="s">
        <v>1112</v>
      </c>
      <c r="O353" s="31">
        <f>2171</f>
        <v>2171</v>
      </c>
      <c r="P353" s="32" t="s">
        <v>1113</v>
      </c>
      <c r="Q353" s="31">
        <f>2176</f>
        <v>2176</v>
      </c>
      <c r="R353" s="32" t="s">
        <v>681</v>
      </c>
      <c r="S353" s="33">
        <f>2200.95</f>
        <v>2200.9499999999998</v>
      </c>
      <c r="T353" s="30">
        <f>447520</f>
        <v>447520</v>
      </c>
      <c r="U353" s="30">
        <f>240060</f>
        <v>240060</v>
      </c>
      <c r="V353" s="30">
        <f>995325673</f>
        <v>995325673</v>
      </c>
      <c r="W353" s="30">
        <f>537365988</f>
        <v>537365988</v>
      </c>
      <c r="X353" s="34">
        <f>22</f>
        <v>22</v>
      </c>
    </row>
    <row r="354" spans="1:24">
      <c r="A354" s="25" t="s">
        <v>1232</v>
      </c>
      <c r="B354" s="25" t="s">
        <v>792</v>
      </c>
      <c r="C354" s="25" t="s">
        <v>793</v>
      </c>
      <c r="D354" s="25" t="s">
        <v>794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</v>
      </c>
      <c r="K354" s="31">
        <f>1916</f>
        <v>1916</v>
      </c>
      <c r="L354" s="32" t="s">
        <v>1110</v>
      </c>
      <c r="M354" s="31">
        <f>1965</f>
        <v>1965</v>
      </c>
      <c r="N354" s="32" t="s">
        <v>1145</v>
      </c>
      <c r="O354" s="31">
        <f>1839</f>
        <v>1839</v>
      </c>
      <c r="P354" s="32" t="s">
        <v>683</v>
      </c>
      <c r="Q354" s="31">
        <f>1891</f>
        <v>1891</v>
      </c>
      <c r="R354" s="32" t="s">
        <v>681</v>
      </c>
      <c r="S354" s="33">
        <f>1908.45</f>
        <v>1908.45</v>
      </c>
      <c r="T354" s="30">
        <f>3559</f>
        <v>3559</v>
      </c>
      <c r="U354" s="30" t="str">
        <f>"－"</f>
        <v>－</v>
      </c>
      <c r="V354" s="30">
        <f>6879000</f>
        <v>6879000</v>
      </c>
      <c r="W354" s="30" t="str">
        <f>"－"</f>
        <v>－</v>
      </c>
      <c r="X354" s="34">
        <f>22</f>
        <v>22</v>
      </c>
    </row>
    <row r="355" spans="1:24">
      <c r="A355" s="25" t="s">
        <v>1232</v>
      </c>
      <c r="B355" s="25" t="s">
        <v>795</v>
      </c>
      <c r="C355" s="25" t="s">
        <v>796</v>
      </c>
      <c r="D355" s="25" t="s">
        <v>797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</v>
      </c>
      <c r="K355" s="31">
        <f>2060</f>
        <v>2060</v>
      </c>
      <c r="L355" s="32" t="s">
        <v>1110</v>
      </c>
      <c r="M355" s="31">
        <f>2200</f>
        <v>2200</v>
      </c>
      <c r="N355" s="32" t="s">
        <v>759</v>
      </c>
      <c r="O355" s="31">
        <f>2019</f>
        <v>2019</v>
      </c>
      <c r="P355" s="32" t="s">
        <v>683</v>
      </c>
      <c r="Q355" s="31">
        <f>2083</f>
        <v>2083</v>
      </c>
      <c r="R355" s="32" t="s">
        <v>681</v>
      </c>
      <c r="S355" s="33">
        <f>2079.59</f>
        <v>2079.59</v>
      </c>
      <c r="T355" s="30">
        <f>22463</f>
        <v>22463</v>
      </c>
      <c r="U355" s="30" t="str">
        <f>"－"</f>
        <v>－</v>
      </c>
      <c r="V355" s="30">
        <f>46692061</f>
        <v>46692061</v>
      </c>
      <c r="W355" s="30" t="str">
        <f>"－"</f>
        <v>－</v>
      </c>
      <c r="X355" s="34">
        <f>22</f>
        <v>22</v>
      </c>
    </row>
    <row r="356" spans="1:24">
      <c r="A356" s="25" t="s">
        <v>1232</v>
      </c>
      <c r="B356" s="25" t="s">
        <v>798</v>
      </c>
      <c r="C356" s="25" t="s">
        <v>799</v>
      </c>
      <c r="D356" s="25" t="s">
        <v>800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4430</f>
        <v>4430</v>
      </c>
      <c r="L356" s="32" t="s">
        <v>1110</v>
      </c>
      <c r="M356" s="31">
        <f>4495</f>
        <v>4495</v>
      </c>
      <c r="N356" s="32" t="s">
        <v>1113</v>
      </c>
      <c r="O356" s="31">
        <f>4230</f>
        <v>4230</v>
      </c>
      <c r="P356" s="32" t="s">
        <v>683</v>
      </c>
      <c r="Q356" s="31">
        <f>4330</f>
        <v>4330</v>
      </c>
      <c r="R356" s="32" t="s">
        <v>681</v>
      </c>
      <c r="S356" s="33">
        <f>4357.95</f>
        <v>4357.95</v>
      </c>
      <c r="T356" s="30">
        <f>97844</f>
        <v>97844</v>
      </c>
      <c r="U356" s="30">
        <f>55212</f>
        <v>55212</v>
      </c>
      <c r="V356" s="30">
        <f>421009330</f>
        <v>421009330</v>
      </c>
      <c r="W356" s="30">
        <f>237292585</f>
        <v>237292585</v>
      </c>
      <c r="X356" s="34">
        <f>22</f>
        <v>22</v>
      </c>
    </row>
    <row r="357" spans="1:24">
      <c r="A357" s="25" t="s">
        <v>1232</v>
      </c>
      <c r="B357" s="25" t="s">
        <v>801</v>
      </c>
      <c r="C357" s="25" t="s">
        <v>802</v>
      </c>
      <c r="D357" s="25" t="s">
        <v>803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10</v>
      </c>
      <c r="K357" s="31">
        <f>2723.5</f>
        <v>2723.5</v>
      </c>
      <c r="L357" s="32" t="s">
        <v>1110</v>
      </c>
      <c r="M357" s="31">
        <f>2822</f>
        <v>2822</v>
      </c>
      <c r="N357" s="32" t="s">
        <v>875</v>
      </c>
      <c r="O357" s="31">
        <f>2692</f>
        <v>2692</v>
      </c>
      <c r="P357" s="32" t="s">
        <v>683</v>
      </c>
      <c r="Q357" s="31">
        <f>2775.5</f>
        <v>2775.5</v>
      </c>
      <c r="R357" s="32" t="s">
        <v>681</v>
      </c>
      <c r="S357" s="33">
        <f>2761.05</f>
        <v>2761.05</v>
      </c>
      <c r="T357" s="30">
        <f>14480</f>
        <v>14480</v>
      </c>
      <c r="U357" s="30" t="str">
        <f>"－"</f>
        <v>－</v>
      </c>
      <c r="V357" s="30">
        <f>40319750</f>
        <v>40319750</v>
      </c>
      <c r="W357" s="30" t="str">
        <f>"－"</f>
        <v>－</v>
      </c>
      <c r="X357" s="34">
        <f>22</f>
        <v>22</v>
      </c>
    </row>
    <row r="358" spans="1:24">
      <c r="A358" s="25" t="s">
        <v>1232</v>
      </c>
      <c r="B358" s="25" t="s">
        <v>812</v>
      </c>
      <c r="C358" s="25" t="s">
        <v>813</v>
      </c>
      <c r="D358" s="25" t="s">
        <v>814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269.8</f>
        <v>269.8</v>
      </c>
      <c r="L358" s="32" t="s">
        <v>1110</v>
      </c>
      <c r="M358" s="31">
        <f>277.7</f>
        <v>277.7</v>
      </c>
      <c r="N358" s="32" t="s">
        <v>875</v>
      </c>
      <c r="O358" s="31">
        <f>262.1</f>
        <v>262.10000000000002</v>
      </c>
      <c r="P358" s="32" t="s">
        <v>683</v>
      </c>
      <c r="Q358" s="31">
        <f>268.5</f>
        <v>268.5</v>
      </c>
      <c r="R358" s="32" t="s">
        <v>681</v>
      </c>
      <c r="S358" s="33">
        <f>269.66</f>
        <v>269.66000000000003</v>
      </c>
      <c r="T358" s="30">
        <f>8500</f>
        <v>8500</v>
      </c>
      <c r="U358" s="30" t="str">
        <f>"－"</f>
        <v>－</v>
      </c>
      <c r="V358" s="30">
        <f>2303164</f>
        <v>2303164</v>
      </c>
      <c r="W358" s="30" t="str">
        <f>"－"</f>
        <v>－</v>
      </c>
      <c r="X358" s="34">
        <f>22</f>
        <v>22</v>
      </c>
    </row>
    <row r="359" spans="1:24">
      <c r="A359" s="25" t="s">
        <v>1232</v>
      </c>
      <c r="B359" s="25" t="s">
        <v>804</v>
      </c>
      <c r="C359" s="25" t="s">
        <v>805</v>
      </c>
      <c r="D359" s="25" t="s">
        <v>806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10</v>
      </c>
      <c r="K359" s="31">
        <f>171.6</f>
        <v>171.6</v>
      </c>
      <c r="L359" s="32" t="s">
        <v>1110</v>
      </c>
      <c r="M359" s="31">
        <f>171.6</f>
        <v>171.6</v>
      </c>
      <c r="N359" s="32" t="s">
        <v>1110</v>
      </c>
      <c r="O359" s="31">
        <f>165.5</f>
        <v>165.5</v>
      </c>
      <c r="P359" s="32" t="s">
        <v>679</v>
      </c>
      <c r="Q359" s="31">
        <f>166.9</f>
        <v>166.9</v>
      </c>
      <c r="R359" s="32" t="s">
        <v>681</v>
      </c>
      <c r="S359" s="33">
        <f>167.57</f>
        <v>167.57</v>
      </c>
      <c r="T359" s="30">
        <f>2113430</f>
        <v>2113430</v>
      </c>
      <c r="U359" s="30">
        <f>1788570</f>
        <v>1788570</v>
      </c>
      <c r="V359" s="30">
        <f>354527481</f>
        <v>354527481</v>
      </c>
      <c r="W359" s="30">
        <f>300002802</f>
        <v>300002802</v>
      </c>
      <c r="X359" s="34">
        <f>22</f>
        <v>22</v>
      </c>
    </row>
    <row r="360" spans="1:24">
      <c r="A360" s="25" t="s">
        <v>1232</v>
      </c>
      <c r="B360" s="25" t="s">
        <v>807</v>
      </c>
      <c r="C360" s="25" t="s">
        <v>808</v>
      </c>
      <c r="D360" s="25" t="s">
        <v>809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10</v>
      </c>
      <c r="K360" s="31">
        <f>683.3</f>
        <v>683.3</v>
      </c>
      <c r="L360" s="32" t="s">
        <v>1110</v>
      </c>
      <c r="M360" s="31">
        <f>683.3</f>
        <v>683.3</v>
      </c>
      <c r="N360" s="32" t="s">
        <v>1110</v>
      </c>
      <c r="O360" s="31">
        <f>659.9</f>
        <v>659.9</v>
      </c>
      <c r="P360" s="32" t="s">
        <v>681</v>
      </c>
      <c r="Q360" s="31">
        <f>659.9</f>
        <v>659.9</v>
      </c>
      <c r="R360" s="32" t="s">
        <v>681</v>
      </c>
      <c r="S360" s="33">
        <f>670.6</f>
        <v>670.6</v>
      </c>
      <c r="T360" s="30">
        <f>20720</f>
        <v>20720</v>
      </c>
      <c r="U360" s="30" t="str">
        <f>"－"</f>
        <v>－</v>
      </c>
      <c r="V360" s="30">
        <f>13883461</f>
        <v>13883461</v>
      </c>
      <c r="W360" s="30" t="str">
        <f>"－"</f>
        <v>－</v>
      </c>
      <c r="X360" s="34">
        <f>10</f>
        <v>10</v>
      </c>
    </row>
    <row r="361" spans="1:24">
      <c r="A361" s="25" t="s">
        <v>1232</v>
      </c>
      <c r="B361" s="25" t="s">
        <v>815</v>
      </c>
      <c r="C361" s="25" t="s">
        <v>816</v>
      </c>
      <c r="D361" s="25" t="s">
        <v>817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</v>
      </c>
      <c r="K361" s="31">
        <f>1518</f>
        <v>1518</v>
      </c>
      <c r="L361" s="32" t="s">
        <v>1110</v>
      </c>
      <c r="M361" s="31">
        <f>1572</f>
        <v>1572</v>
      </c>
      <c r="N361" s="32" t="s">
        <v>875</v>
      </c>
      <c r="O361" s="31">
        <f>1436</f>
        <v>1436</v>
      </c>
      <c r="P361" s="32" t="s">
        <v>1114</v>
      </c>
      <c r="Q361" s="31">
        <f>1531</f>
        <v>1531</v>
      </c>
      <c r="R361" s="32" t="s">
        <v>681</v>
      </c>
      <c r="S361" s="33">
        <f>1515.09</f>
        <v>1515.09</v>
      </c>
      <c r="T361" s="30">
        <f>516247</f>
        <v>516247</v>
      </c>
      <c r="U361" s="30">
        <f>294</f>
        <v>294</v>
      </c>
      <c r="V361" s="30">
        <f>781709725</f>
        <v>781709725</v>
      </c>
      <c r="W361" s="30">
        <f>446917</f>
        <v>446917</v>
      </c>
      <c r="X361" s="34">
        <f>22</f>
        <v>22</v>
      </c>
    </row>
    <row r="362" spans="1:24">
      <c r="A362" s="25" t="s">
        <v>1232</v>
      </c>
      <c r="B362" s="25" t="s">
        <v>818</v>
      </c>
      <c r="C362" s="25" t="s">
        <v>819</v>
      </c>
      <c r="D362" s="25" t="s">
        <v>820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</v>
      </c>
      <c r="K362" s="31">
        <f>912</f>
        <v>912</v>
      </c>
      <c r="L362" s="32" t="s">
        <v>1110</v>
      </c>
      <c r="M362" s="31">
        <f>912</f>
        <v>912</v>
      </c>
      <c r="N362" s="32" t="s">
        <v>1110</v>
      </c>
      <c r="O362" s="31">
        <f>872</f>
        <v>872</v>
      </c>
      <c r="P362" s="32" t="s">
        <v>679</v>
      </c>
      <c r="Q362" s="31">
        <f>878</f>
        <v>878</v>
      </c>
      <c r="R362" s="32" t="s">
        <v>681</v>
      </c>
      <c r="S362" s="33">
        <f>886.23</f>
        <v>886.23</v>
      </c>
      <c r="T362" s="30">
        <f>73022</f>
        <v>73022</v>
      </c>
      <c r="U362" s="30" t="str">
        <f>"－"</f>
        <v>－</v>
      </c>
      <c r="V362" s="30">
        <f>65565447</f>
        <v>65565447</v>
      </c>
      <c r="W362" s="30" t="str">
        <f>"－"</f>
        <v>－</v>
      </c>
      <c r="X362" s="34">
        <f>22</f>
        <v>22</v>
      </c>
    </row>
    <row r="363" spans="1:24">
      <c r="A363" s="25" t="s">
        <v>1232</v>
      </c>
      <c r="B363" s="25" t="s">
        <v>821</v>
      </c>
      <c r="C363" s="25" t="s">
        <v>822</v>
      </c>
      <c r="D363" s="25" t="s">
        <v>823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10</v>
      </c>
      <c r="K363" s="31">
        <f>717.6</f>
        <v>717.6</v>
      </c>
      <c r="L363" s="32" t="s">
        <v>1110</v>
      </c>
      <c r="M363" s="31">
        <f>718.7</f>
        <v>718.7</v>
      </c>
      <c r="N363" s="32" t="s">
        <v>1116</v>
      </c>
      <c r="O363" s="31">
        <f>690.8</f>
        <v>690.8</v>
      </c>
      <c r="P363" s="32" t="s">
        <v>681</v>
      </c>
      <c r="Q363" s="31">
        <f>691.3</f>
        <v>691.3</v>
      </c>
      <c r="R363" s="32" t="s">
        <v>681</v>
      </c>
      <c r="S363" s="33">
        <f>701.56</f>
        <v>701.56</v>
      </c>
      <c r="T363" s="30">
        <f>11486790</f>
        <v>11486790</v>
      </c>
      <c r="U363" s="30">
        <f>7285240</f>
        <v>7285240</v>
      </c>
      <c r="V363" s="30">
        <f>8103600007</f>
        <v>8103600007</v>
      </c>
      <c r="W363" s="30">
        <f>5136929344</f>
        <v>5136929344</v>
      </c>
      <c r="X363" s="34">
        <f>22</f>
        <v>22</v>
      </c>
    </row>
    <row r="364" spans="1:24">
      <c r="A364" s="25" t="s">
        <v>1232</v>
      </c>
      <c r="B364" s="25" t="s">
        <v>824</v>
      </c>
      <c r="C364" s="25" t="s">
        <v>825</v>
      </c>
      <c r="D364" s="25" t="s">
        <v>826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10</v>
      </c>
      <c r="K364" s="31">
        <f>699.9</f>
        <v>699.9</v>
      </c>
      <c r="L364" s="32" t="s">
        <v>1110</v>
      </c>
      <c r="M364" s="31">
        <f>700.8</f>
        <v>700.8</v>
      </c>
      <c r="N364" s="32" t="s">
        <v>1116</v>
      </c>
      <c r="O364" s="31">
        <f>679.6</f>
        <v>679.6</v>
      </c>
      <c r="P364" s="32" t="s">
        <v>681</v>
      </c>
      <c r="Q364" s="31">
        <f>681.1</f>
        <v>681.1</v>
      </c>
      <c r="R364" s="32" t="s">
        <v>681</v>
      </c>
      <c r="S364" s="33">
        <f>689.58</f>
        <v>689.58</v>
      </c>
      <c r="T364" s="30">
        <f>8946990</f>
        <v>8946990</v>
      </c>
      <c r="U364" s="30">
        <f>8785500</f>
        <v>8785500</v>
      </c>
      <c r="V364" s="30">
        <f>6157007901</f>
        <v>6157007901</v>
      </c>
      <c r="W364" s="30">
        <f>6046350464</f>
        <v>6046350464</v>
      </c>
      <c r="X364" s="34">
        <f>22</f>
        <v>22</v>
      </c>
    </row>
    <row r="365" spans="1:24">
      <c r="A365" s="25" t="s">
        <v>1232</v>
      </c>
      <c r="B365" s="25" t="s">
        <v>827</v>
      </c>
      <c r="C365" s="25" t="s">
        <v>828</v>
      </c>
      <c r="D365" s="25" t="s">
        <v>829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</v>
      </c>
      <c r="K365" s="31">
        <f>1159</f>
        <v>1159</v>
      </c>
      <c r="L365" s="32" t="s">
        <v>1110</v>
      </c>
      <c r="M365" s="31">
        <f>1184</f>
        <v>1184</v>
      </c>
      <c r="N365" s="32" t="s">
        <v>1145</v>
      </c>
      <c r="O365" s="31">
        <f>1120</f>
        <v>1120</v>
      </c>
      <c r="P365" s="32" t="s">
        <v>683</v>
      </c>
      <c r="Q365" s="31">
        <f>1153</f>
        <v>1153</v>
      </c>
      <c r="R365" s="32" t="s">
        <v>681</v>
      </c>
      <c r="S365" s="33">
        <f>1154.14</f>
        <v>1154.1400000000001</v>
      </c>
      <c r="T365" s="30">
        <f>58596</f>
        <v>58596</v>
      </c>
      <c r="U365" s="30" t="str">
        <f>"－"</f>
        <v>－</v>
      </c>
      <c r="V365" s="30">
        <f>67742042</f>
        <v>67742042</v>
      </c>
      <c r="W365" s="30" t="str">
        <f>"－"</f>
        <v>－</v>
      </c>
      <c r="X365" s="34">
        <f>22</f>
        <v>22</v>
      </c>
    </row>
    <row r="366" spans="1:24">
      <c r="A366" s="25" t="s">
        <v>1232</v>
      </c>
      <c r="B366" s="25" t="s">
        <v>836</v>
      </c>
      <c r="C366" s="25" t="s">
        <v>837</v>
      </c>
      <c r="D366" s="25" t="s">
        <v>838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10</v>
      </c>
      <c r="K366" s="31">
        <f>2618</f>
        <v>2618</v>
      </c>
      <c r="L366" s="32" t="s">
        <v>1110</v>
      </c>
      <c r="M366" s="31">
        <f>2667</f>
        <v>2667</v>
      </c>
      <c r="N366" s="32" t="s">
        <v>1116</v>
      </c>
      <c r="O366" s="31">
        <f>2527.5</f>
        <v>2527.5</v>
      </c>
      <c r="P366" s="32" t="s">
        <v>681</v>
      </c>
      <c r="Q366" s="31">
        <f>2532</f>
        <v>2532</v>
      </c>
      <c r="R366" s="32" t="s">
        <v>681</v>
      </c>
      <c r="S366" s="33">
        <f>2580</f>
        <v>2580</v>
      </c>
      <c r="T366" s="30">
        <f>108040</f>
        <v>108040</v>
      </c>
      <c r="U366" s="30" t="str">
        <f>"－"</f>
        <v>－</v>
      </c>
      <c r="V366" s="30">
        <f>278981660</f>
        <v>278981660</v>
      </c>
      <c r="W366" s="30" t="str">
        <f>"－"</f>
        <v>－</v>
      </c>
      <c r="X366" s="34">
        <f>22</f>
        <v>22</v>
      </c>
    </row>
    <row r="367" spans="1:24">
      <c r="A367" s="25" t="s">
        <v>1232</v>
      </c>
      <c r="B367" s="25" t="s">
        <v>839</v>
      </c>
      <c r="C367" s="25" t="s">
        <v>840</v>
      </c>
      <c r="D367" s="25" t="s">
        <v>841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10</v>
      </c>
      <c r="K367" s="31">
        <f>2682</f>
        <v>2682</v>
      </c>
      <c r="L367" s="32" t="s">
        <v>1110</v>
      </c>
      <c r="M367" s="31">
        <f>2686</f>
        <v>2686</v>
      </c>
      <c r="N367" s="32" t="s">
        <v>1112</v>
      </c>
      <c r="O367" s="31">
        <f>2587</f>
        <v>2587</v>
      </c>
      <c r="P367" s="32" t="s">
        <v>1113</v>
      </c>
      <c r="Q367" s="31">
        <f>2611.5</f>
        <v>2611.5</v>
      </c>
      <c r="R367" s="32" t="s">
        <v>681</v>
      </c>
      <c r="S367" s="33">
        <f>2639.8</f>
        <v>2639.8</v>
      </c>
      <c r="T367" s="30">
        <f>25970</f>
        <v>25970</v>
      </c>
      <c r="U367" s="30" t="str">
        <f>"－"</f>
        <v>－</v>
      </c>
      <c r="V367" s="30">
        <f>68497345</f>
        <v>68497345</v>
      </c>
      <c r="W367" s="30" t="str">
        <f>"－"</f>
        <v>－</v>
      </c>
      <c r="X367" s="34">
        <f>22</f>
        <v>22</v>
      </c>
    </row>
    <row r="368" spans="1:24">
      <c r="A368" s="25" t="s">
        <v>1232</v>
      </c>
      <c r="B368" s="25" t="s">
        <v>830</v>
      </c>
      <c r="C368" s="25" t="s">
        <v>831</v>
      </c>
      <c r="D368" s="25" t="s">
        <v>832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10</v>
      </c>
      <c r="K368" s="31">
        <f>5365</f>
        <v>5365</v>
      </c>
      <c r="L368" s="32" t="s">
        <v>1110</v>
      </c>
      <c r="M368" s="31">
        <f>5578</f>
        <v>5578</v>
      </c>
      <c r="N368" s="32" t="s">
        <v>1114</v>
      </c>
      <c r="O368" s="31">
        <f>5330</f>
        <v>5330</v>
      </c>
      <c r="P368" s="32" t="s">
        <v>1113</v>
      </c>
      <c r="Q368" s="31">
        <f>5578</f>
        <v>5578</v>
      </c>
      <c r="R368" s="32" t="s">
        <v>1114</v>
      </c>
      <c r="S368" s="33">
        <f>5430.45</f>
        <v>5430.45</v>
      </c>
      <c r="T368" s="30">
        <f>123500</f>
        <v>123500</v>
      </c>
      <c r="U368" s="30">
        <f>120000</f>
        <v>120000</v>
      </c>
      <c r="V368" s="30">
        <f>668698560</f>
        <v>668698560</v>
      </c>
      <c r="W368" s="30">
        <f>649824000</f>
        <v>649824000</v>
      </c>
      <c r="X368" s="34">
        <f>11</f>
        <v>11</v>
      </c>
    </row>
    <row r="369" spans="1:24">
      <c r="A369" s="25" t="s">
        <v>1232</v>
      </c>
      <c r="B369" s="25" t="s">
        <v>833</v>
      </c>
      <c r="C369" s="25" t="s">
        <v>834</v>
      </c>
      <c r="D369" s="25" t="s">
        <v>835</v>
      </c>
      <c r="E369" s="26" t="s">
        <v>43</v>
      </c>
      <c r="F369" s="27" t="s">
        <v>43</v>
      </c>
      <c r="G369" s="28" t="s">
        <v>43</v>
      </c>
      <c r="H369" s="29"/>
      <c r="I369" s="29" t="s">
        <v>44</v>
      </c>
      <c r="J369" s="30">
        <v>10</v>
      </c>
      <c r="K369" s="31">
        <f>4258</f>
        <v>4258</v>
      </c>
      <c r="L369" s="32" t="s">
        <v>1110</v>
      </c>
      <c r="M369" s="31">
        <f>4294</f>
        <v>4294</v>
      </c>
      <c r="N369" s="32" t="s">
        <v>1116</v>
      </c>
      <c r="O369" s="31">
        <f>4157</f>
        <v>4157</v>
      </c>
      <c r="P369" s="32" t="s">
        <v>679</v>
      </c>
      <c r="Q369" s="31">
        <f>4203</f>
        <v>4203</v>
      </c>
      <c r="R369" s="32" t="s">
        <v>1114</v>
      </c>
      <c r="S369" s="33">
        <f>4241.36</f>
        <v>4241.3599999999997</v>
      </c>
      <c r="T369" s="30">
        <f>21140</f>
        <v>21140</v>
      </c>
      <c r="U369" s="30" t="str">
        <f>"－"</f>
        <v>－</v>
      </c>
      <c r="V369" s="30">
        <f>89611450</f>
        <v>89611450</v>
      </c>
      <c r="W369" s="30" t="str">
        <f>"－"</f>
        <v>－</v>
      </c>
      <c r="X369" s="34">
        <f>11</f>
        <v>11</v>
      </c>
    </row>
    <row r="370" spans="1:24">
      <c r="A370" s="25" t="s">
        <v>1232</v>
      </c>
      <c r="B370" s="25" t="s">
        <v>842</v>
      </c>
      <c r="C370" s="25" t="s">
        <v>843</v>
      </c>
      <c r="D370" s="25" t="s">
        <v>844</v>
      </c>
      <c r="E370" s="26" t="s">
        <v>43</v>
      </c>
      <c r="F370" s="27" t="s">
        <v>43</v>
      </c>
      <c r="G370" s="28" t="s">
        <v>43</v>
      </c>
      <c r="H370" s="29"/>
      <c r="I370" s="29" t="s">
        <v>44</v>
      </c>
      <c r="J370" s="30">
        <v>10</v>
      </c>
      <c r="K370" s="31">
        <f>1974.5</f>
        <v>1974.5</v>
      </c>
      <c r="L370" s="32" t="s">
        <v>1110</v>
      </c>
      <c r="M370" s="31">
        <f>1975</f>
        <v>1975</v>
      </c>
      <c r="N370" s="32" t="s">
        <v>1145</v>
      </c>
      <c r="O370" s="31">
        <f>1923.5</f>
        <v>1923.5</v>
      </c>
      <c r="P370" s="32" t="s">
        <v>1114</v>
      </c>
      <c r="Q370" s="31">
        <f>1923.5</f>
        <v>1923.5</v>
      </c>
      <c r="R370" s="32" t="s">
        <v>1114</v>
      </c>
      <c r="S370" s="33">
        <f>1943.13</f>
        <v>1943.13</v>
      </c>
      <c r="T370" s="30">
        <f>1610</f>
        <v>1610</v>
      </c>
      <c r="U370" s="30" t="str">
        <f>"－"</f>
        <v>－</v>
      </c>
      <c r="V370" s="30">
        <f>3129965</f>
        <v>3129965</v>
      </c>
      <c r="W370" s="30" t="str">
        <f>"－"</f>
        <v>－</v>
      </c>
      <c r="X370" s="34">
        <f>12</f>
        <v>12</v>
      </c>
    </row>
    <row r="371" spans="1:24">
      <c r="A371" s="25" t="s">
        <v>1232</v>
      </c>
      <c r="B371" s="25" t="s">
        <v>845</v>
      </c>
      <c r="C371" s="25" t="s">
        <v>846</v>
      </c>
      <c r="D371" s="25" t="s">
        <v>847</v>
      </c>
      <c r="E371" s="26" t="s">
        <v>43</v>
      </c>
      <c r="F371" s="27" t="s">
        <v>43</v>
      </c>
      <c r="G371" s="28" t="s">
        <v>43</v>
      </c>
      <c r="H371" s="29"/>
      <c r="I371" s="29" t="s">
        <v>44</v>
      </c>
      <c r="J371" s="30">
        <v>1</v>
      </c>
      <c r="K371" s="31">
        <f>1388</f>
        <v>1388</v>
      </c>
      <c r="L371" s="32" t="s">
        <v>1110</v>
      </c>
      <c r="M371" s="31">
        <f>1432</f>
        <v>1432</v>
      </c>
      <c r="N371" s="32" t="s">
        <v>682</v>
      </c>
      <c r="O371" s="31">
        <f>1320</f>
        <v>1320</v>
      </c>
      <c r="P371" s="32" t="s">
        <v>875</v>
      </c>
      <c r="Q371" s="31">
        <f>1369</f>
        <v>1369</v>
      </c>
      <c r="R371" s="32" t="s">
        <v>681</v>
      </c>
      <c r="S371" s="33">
        <f>1380.77</f>
        <v>1380.77</v>
      </c>
      <c r="T371" s="30">
        <f>24576</f>
        <v>24576</v>
      </c>
      <c r="U371" s="30" t="str">
        <f>"－"</f>
        <v>－</v>
      </c>
      <c r="V371" s="30">
        <f>33912317</f>
        <v>33912317</v>
      </c>
      <c r="W371" s="30" t="str">
        <f>"－"</f>
        <v>－</v>
      </c>
      <c r="X371" s="34">
        <f>22</f>
        <v>22</v>
      </c>
    </row>
    <row r="372" spans="1:24">
      <c r="A372" s="25" t="s">
        <v>1232</v>
      </c>
      <c r="B372" s="25" t="s">
        <v>848</v>
      </c>
      <c r="C372" s="25" t="s">
        <v>849</v>
      </c>
      <c r="D372" s="25" t="s">
        <v>850</v>
      </c>
      <c r="E372" s="26" t="s">
        <v>43</v>
      </c>
      <c r="F372" s="27" t="s">
        <v>43</v>
      </c>
      <c r="G372" s="28" t="s">
        <v>43</v>
      </c>
      <c r="H372" s="29"/>
      <c r="I372" s="29" t="s">
        <v>44</v>
      </c>
      <c r="J372" s="30">
        <v>1</v>
      </c>
      <c r="K372" s="31">
        <f>1138</f>
        <v>1138</v>
      </c>
      <c r="L372" s="32" t="s">
        <v>1110</v>
      </c>
      <c r="M372" s="31">
        <f>1229</f>
        <v>1229</v>
      </c>
      <c r="N372" s="32" t="s">
        <v>777</v>
      </c>
      <c r="O372" s="31">
        <f>1128</f>
        <v>1128</v>
      </c>
      <c r="P372" s="32" t="s">
        <v>1116</v>
      </c>
      <c r="Q372" s="31">
        <f>1221</f>
        <v>1221</v>
      </c>
      <c r="R372" s="32" t="s">
        <v>681</v>
      </c>
      <c r="S372" s="33">
        <f>1186.09</f>
        <v>1186.0899999999999</v>
      </c>
      <c r="T372" s="30">
        <f>4154471</f>
        <v>4154471</v>
      </c>
      <c r="U372" s="30">
        <f>18681</f>
        <v>18681</v>
      </c>
      <c r="V372" s="30">
        <f>4918275953</f>
        <v>4918275953</v>
      </c>
      <c r="W372" s="30">
        <f>21796572</f>
        <v>21796572</v>
      </c>
      <c r="X372" s="34">
        <f>22</f>
        <v>22</v>
      </c>
    </row>
    <row r="373" spans="1:24">
      <c r="A373" s="25" t="s">
        <v>1232</v>
      </c>
      <c r="B373" s="25" t="s">
        <v>851</v>
      </c>
      <c r="C373" s="25" t="s">
        <v>852</v>
      </c>
      <c r="D373" s="25" t="s">
        <v>853</v>
      </c>
      <c r="E373" s="26" t="s">
        <v>43</v>
      </c>
      <c r="F373" s="27" t="s">
        <v>43</v>
      </c>
      <c r="G373" s="28" t="s">
        <v>43</v>
      </c>
      <c r="H373" s="29"/>
      <c r="I373" s="29" t="s">
        <v>44</v>
      </c>
      <c r="J373" s="30">
        <v>1</v>
      </c>
      <c r="K373" s="31">
        <f>1006</f>
        <v>1006</v>
      </c>
      <c r="L373" s="32" t="s">
        <v>1110</v>
      </c>
      <c r="M373" s="31">
        <f>1062</f>
        <v>1062</v>
      </c>
      <c r="N373" s="32" t="s">
        <v>1114</v>
      </c>
      <c r="O373" s="31">
        <f>1001</f>
        <v>1001</v>
      </c>
      <c r="P373" s="32" t="s">
        <v>1110</v>
      </c>
      <c r="Q373" s="31">
        <f>1051</f>
        <v>1051</v>
      </c>
      <c r="R373" s="32" t="s">
        <v>681</v>
      </c>
      <c r="S373" s="33">
        <f>1041.73</f>
        <v>1041.73</v>
      </c>
      <c r="T373" s="30">
        <f>862805</f>
        <v>862805</v>
      </c>
      <c r="U373" s="30">
        <f>15</f>
        <v>15</v>
      </c>
      <c r="V373" s="30">
        <f>894653886</f>
        <v>894653886</v>
      </c>
      <c r="W373" s="30">
        <f>15850</f>
        <v>15850</v>
      </c>
      <c r="X373" s="34">
        <f>22</f>
        <v>22</v>
      </c>
    </row>
    <row r="374" spans="1:24">
      <c r="A374" s="25" t="s">
        <v>1232</v>
      </c>
      <c r="B374" s="25" t="s">
        <v>858</v>
      </c>
      <c r="C374" s="25" t="s">
        <v>859</v>
      </c>
      <c r="D374" s="25" t="s">
        <v>860</v>
      </c>
      <c r="E374" s="26" t="s">
        <v>43</v>
      </c>
      <c r="F374" s="27" t="s">
        <v>43</v>
      </c>
      <c r="G374" s="28" t="s">
        <v>43</v>
      </c>
      <c r="H374" s="29"/>
      <c r="I374" s="29" t="s">
        <v>44</v>
      </c>
      <c r="J374" s="30">
        <v>1</v>
      </c>
      <c r="K374" s="31">
        <f>1069</f>
        <v>1069</v>
      </c>
      <c r="L374" s="32" t="s">
        <v>1110</v>
      </c>
      <c r="M374" s="31">
        <f>1143</f>
        <v>1143</v>
      </c>
      <c r="N374" s="32" t="s">
        <v>777</v>
      </c>
      <c r="O374" s="31">
        <f>1044</f>
        <v>1044</v>
      </c>
      <c r="P374" s="32" t="s">
        <v>675</v>
      </c>
      <c r="Q374" s="31">
        <f>1079</f>
        <v>1079</v>
      </c>
      <c r="R374" s="32" t="s">
        <v>681</v>
      </c>
      <c r="S374" s="33">
        <f>1079.45</f>
        <v>1079.45</v>
      </c>
      <c r="T374" s="30">
        <f>7071</f>
        <v>7071</v>
      </c>
      <c r="U374" s="30" t="str">
        <f>"－"</f>
        <v>－</v>
      </c>
      <c r="V374" s="30">
        <f>7661519</f>
        <v>7661519</v>
      </c>
      <c r="W374" s="30" t="str">
        <f>"－"</f>
        <v>－</v>
      </c>
      <c r="X374" s="34">
        <f>22</f>
        <v>22</v>
      </c>
    </row>
    <row r="375" spans="1:24">
      <c r="A375" s="25" t="s">
        <v>1232</v>
      </c>
      <c r="B375" s="25" t="s">
        <v>861</v>
      </c>
      <c r="C375" s="25" t="s">
        <v>862</v>
      </c>
      <c r="D375" s="25" t="s">
        <v>863</v>
      </c>
      <c r="E375" s="26" t="s">
        <v>43</v>
      </c>
      <c r="F375" s="27" t="s">
        <v>43</v>
      </c>
      <c r="G375" s="28" t="s">
        <v>43</v>
      </c>
      <c r="H375" s="29"/>
      <c r="I375" s="29" t="s">
        <v>44</v>
      </c>
      <c r="J375" s="30">
        <v>1</v>
      </c>
      <c r="K375" s="31">
        <f>1030</f>
        <v>1030</v>
      </c>
      <c r="L375" s="32" t="s">
        <v>1110</v>
      </c>
      <c r="M375" s="31">
        <f>1104</f>
        <v>1104</v>
      </c>
      <c r="N375" s="32" t="s">
        <v>1114</v>
      </c>
      <c r="O375" s="31">
        <f>1025</f>
        <v>1025</v>
      </c>
      <c r="P375" s="32" t="s">
        <v>1116</v>
      </c>
      <c r="Q375" s="31">
        <f>1095</f>
        <v>1095</v>
      </c>
      <c r="R375" s="32" t="s">
        <v>681</v>
      </c>
      <c r="S375" s="33">
        <f>1072.82</f>
        <v>1072.82</v>
      </c>
      <c r="T375" s="30">
        <f>849455</f>
        <v>849455</v>
      </c>
      <c r="U375" s="30">
        <f>74</f>
        <v>74</v>
      </c>
      <c r="V375" s="30">
        <f>910415789</f>
        <v>910415789</v>
      </c>
      <c r="W375" s="30">
        <f>81096</f>
        <v>81096</v>
      </c>
      <c r="X375" s="34">
        <f>22</f>
        <v>22</v>
      </c>
    </row>
    <row r="376" spans="1:24">
      <c r="A376" s="25" t="s">
        <v>1232</v>
      </c>
      <c r="B376" s="25" t="s">
        <v>864</v>
      </c>
      <c r="C376" s="25" t="s">
        <v>865</v>
      </c>
      <c r="D376" s="25" t="s">
        <v>950</v>
      </c>
      <c r="E376" s="26" t="s">
        <v>43</v>
      </c>
      <c r="F376" s="27" t="s">
        <v>43</v>
      </c>
      <c r="G376" s="28" t="s">
        <v>43</v>
      </c>
      <c r="H376" s="29"/>
      <c r="I376" s="29" t="s">
        <v>44</v>
      </c>
      <c r="J376" s="30">
        <v>1</v>
      </c>
      <c r="K376" s="31">
        <f>43970</f>
        <v>43970</v>
      </c>
      <c r="L376" s="32" t="s">
        <v>1110</v>
      </c>
      <c r="M376" s="31">
        <f>46260</f>
        <v>46260</v>
      </c>
      <c r="N376" s="32" t="s">
        <v>777</v>
      </c>
      <c r="O376" s="31">
        <f>42370</f>
        <v>42370</v>
      </c>
      <c r="P376" s="32" t="s">
        <v>1116</v>
      </c>
      <c r="Q376" s="31">
        <f>44530</f>
        <v>44530</v>
      </c>
      <c r="R376" s="32" t="s">
        <v>681</v>
      </c>
      <c r="S376" s="33">
        <f>44365.45</f>
        <v>44365.45</v>
      </c>
      <c r="T376" s="30">
        <f>239831</f>
        <v>239831</v>
      </c>
      <c r="U376" s="30">
        <f>1160</f>
        <v>1160</v>
      </c>
      <c r="V376" s="30">
        <f>10667957044</f>
        <v>10667957044</v>
      </c>
      <c r="W376" s="30">
        <f>49395364</f>
        <v>49395364</v>
      </c>
      <c r="X376" s="34">
        <f>22</f>
        <v>22</v>
      </c>
    </row>
    <row r="377" spans="1:24">
      <c r="A377" s="25" t="s">
        <v>1232</v>
      </c>
      <c r="B377" s="25" t="s">
        <v>866</v>
      </c>
      <c r="C377" s="25" t="s">
        <v>867</v>
      </c>
      <c r="D377" s="25" t="s">
        <v>951</v>
      </c>
      <c r="E377" s="26" t="s">
        <v>43</v>
      </c>
      <c r="F377" s="27" t="s">
        <v>43</v>
      </c>
      <c r="G377" s="28" t="s">
        <v>43</v>
      </c>
      <c r="H377" s="29"/>
      <c r="I377" s="29" t="s">
        <v>44</v>
      </c>
      <c r="J377" s="30">
        <v>1</v>
      </c>
      <c r="K377" s="31">
        <f>19400</f>
        <v>19400</v>
      </c>
      <c r="L377" s="32" t="s">
        <v>1110</v>
      </c>
      <c r="M377" s="31">
        <f>20100</f>
        <v>20100</v>
      </c>
      <c r="N377" s="32" t="s">
        <v>1116</v>
      </c>
      <c r="O377" s="31">
        <f>18295</f>
        <v>18295</v>
      </c>
      <c r="P377" s="32" t="s">
        <v>777</v>
      </c>
      <c r="Q377" s="31">
        <f>18995</f>
        <v>18995</v>
      </c>
      <c r="R377" s="32" t="s">
        <v>681</v>
      </c>
      <c r="S377" s="33">
        <f>19172.27</f>
        <v>19172.27</v>
      </c>
      <c r="T377" s="30">
        <f>204023</f>
        <v>204023</v>
      </c>
      <c r="U377" s="30">
        <f>154</f>
        <v>154</v>
      </c>
      <c r="V377" s="30">
        <f>3908169945</f>
        <v>3908169945</v>
      </c>
      <c r="W377" s="30">
        <f>2911750</f>
        <v>2911750</v>
      </c>
      <c r="X377" s="34">
        <f>22</f>
        <v>22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8D90-17EB-475E-B043-33DDA3E72B4F}">
  <sheetPr>
    <pageSetUpPr fitToPage="1"/>
  </sheetPr>
  <dimension ref="A1:X375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1224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2873</f>
        <v>2873</v>
      </c>
      <c r="L7" s="32" t="s">
        <v>1116</v>
      </c>
      <c r="M7" s="31">
        <f>2908.5</f>
        <v>2908.5</v>
      </c>
      <c r="N7" s="32" t="s">
        <v>1111</v>
      </c>
      <c r="O7" s="31">
        <f>2631</f>
        <v>2631</v>
      </c>
      <c r="P7" s="32" t="s">
        <v>684</v>
      </c>
      <c r="Q7" s="31">
        <f>2795</f>
        <v>2795</v>
      </c>
      <c r="R7" s="32" t="s">
        <v>777</v>
      </c>
      <c r="S7" s="33">
        <f>2759.5</f>
        <v>2759.5</v>
      </c>
      <c r="T7" s="30">
        <f>17598530</f>
        <v>17598530</v>
      </c>
      <c r="U7" s="30">
        <f>11102600</f>
        <v>11102600</v>
      </c>
      <c r="V7" s="30">
        <f>48855129186</f>
        <v>48855129186</v>
      </c>
      <c r="W7" s="30">
        <f>30772778361</f>
        <v>30772778361</v>
      </c>
      <c r="X7" s="34">
        <f>19</f>
        <v>19</v>
      </c>
    </row>
    <row r="8" spans="1:24">
      <c r="A8" s="25" t="s">
        <v>1224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2835</f>
        <v>2835</v>
      </c>
      <c r="L8" s="32" t="s">
        <v>1116</v>
      </c>
      <c r="M8" s="31">
        <f>2875</f>
        <v>2875</v>
      </c>
      <c r="N8" s="32" t="s">
        <v>1111</v>
      </c>
      <c r="O8" s="31">
        <f>2603.5</f>
        <v>2603.5</v>
      </c>
      <c r="P8" s="32" t="s">
        <v>684</v>
      </c>
      <c r="Q8" s="31">
        <f>2767</f>
        <v>2767</v>
      </c>
      <c r="R8" s="32" t="s">
        <v>777</v>
      </c>
      <c r="S8" s="33">
        <f>2729.84</f>
        <v>2729.84</v>
      </c>
      <c r="T8" s="30">
        <f>46121710</f>
        <v>46121710</v>
      </c>
      <c r="U8" s="30">
        <f>10113980</f>
        <v>10113980</v>
      </c>
      <c r="V8" s="30">
        <f>126399959717</f>
        <v>126399959717</v>
      </c>
      <c r="W8" s="30">
        <f>27998418982</f>
        <v>27998418982</v>
      </c>
      <c r="X8" s="34">
        <f>19</f>
        <v>19</v>
      </c>
    </row>
    <row r="9" spans="1:24">
      <c r="A9" s="25" t="s">
        <v>1224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2804</f>
        <v>2804</v>
      </c>
      <c r="L9" s="32" t="s">
        <v>1116</v>
      </c>
      <c r="M9" s="31">
        <f>2843</f>
        <v>2843</v>
      </c>
      <c r="N9" s="32" t="s">
        <v>1111</v>
      </c>
      <c r="O9" s="31">
        <f>2574</f>
        <v>2574</v>
      </c>
      <c r="P9" s="32" t="s">
        <v>684</v>
      </c>
      <c r="Q9" s="31">
        <f>2743</f>
        <v>2743</v>
      </c>
      <c r="R9" s="32" t="s">
        <v>777</v>
      </c>
      <c r="S9" s="33">
        <f>2698.42</f>
        <v>2698.42</v>
      </c>
      <c r="T9" s="30">
        <f>15219104</f>
        <v>15219104</v>
      </c>
      <c r="U9" s="30">
        <f>5838285</f>
        <v>5838285</v>
      </c>
      <c r="V9" s="30">
        <f>40796788263</f>
        <v>40796788263</v>
      </c>
      <c r="W9" s="30">
        <f>15656301931</f>
        <v>15656301931</v>
      </c>
      <c r="X9" s="34">
        <f>19</f>
        <v>19</v>
      </c>
    </row>
    <row r="10" spans="1:24">
      <c r="A10" s="25" t="s">
        <v>1224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38000</f>
        <v>38000</v>
      </c>
      <c r="L10" s="32" t="s">
        <v>1116</v>
      </c>
      <c r="M10" s="31">
        <f>44990</f>
        <v>44990</v>
      </c>
      <c r="N10" s="32" t="s">
        <v>777</v>
      </c>
      <c r="O10" s="31">
        <f>34800</f>
        <v>34800</v>
      </c>
      <c r="P10" s="32" t="s">
        <v>682</v>
      </c>
      <c r="Q10" s="31">
        <f>44980</f>
        <v>44980</v>
      </c>
      <c r="R10" s="32" t="s">
        <v>777</v>
      </c>
      <c r="S10" s="33">
        <f>37195.79</f>
        <v>37195.79</v>
      </c>
      <c r="T10" s="30">
        <f>10140</f>
        <v>10140</v>
      </c>
      <c r="U10" s="30" t="str">
        <f>"－"</f>
        <v>－</v>
      </c>
      <c r="V10" s="30">
        <f>412207620</f>
        <v>412207620</v>
      </c>
      <c r="W10" s="30" t="str">
        <f>"－"</f>
        <v>－</v>
      </c>
      <c r="X10" s="34">
        <f>19</f>
        <v>19</v>
      </c>
    </row>
    <row r="11" spans="1:24">
      <c r="A11" s="25" t="s">
        <v>1224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1410</f>
        <v>1410</v>
      </c>
      <c r="L11" s="32" t="s">
        <v>1116</v>
      </c>
      <c r="M11" s="31">
        <f>1423.5</f>
        <v>1423.5</v>
      </c>
      <c r="N11" s="32" t="s">
        <v>1111</v>
      </c>
      <c r="O11" s="31">
        <f>1271</f>
        <v>1271</v>
      </c>
      <c r="P11" s="32" t="s">
        <v>682</v>
      </c>
      <c r="Q11" s="31">
        <f>1362</f>
        <v>1362</v>
      </c>
      <c r="R11" s="32" t="s">
        <v>777</v>
      </c>
      <c r="S11" s="33">
        <f>1345.11</f>
        <v>1345.11</v>
      </c>
      <c r="T11" s="30">
        <f>370350</f>
        <v>370350</v>
      </c>
      <c r="U11" s="30">
        <f>121460</f>
        <v>121460</v>
      </c>
      <c r="V11" s="30">
        <f>495934441</f>
        <v>495934441</v>
      </c>
      <c r="W11" s="30">
        <f>159157001</f>
        <v>159157001</v>
      </c>
      <c r="X11" s="34">
        <f>19</f>
        <v>19</v>
      </c>
    </row>
    <row r="12" spans="1:24">
      <c r="A12" s="25" t="s">
        <v>1224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470.2</f>
        <v>470.2</v>
      </c>
      <c r="L12" s="32" t="s">
        <v>1116</v>
      </c>
      <c r="M12" s="31">
        <f>494.4</f>
        <v>494.4</v>
      </c>
      <c r="N12" s="32" t="s">
        <v>1111</v>
      </c>
      <c r="O12" s="31">
        <f>452.5</f>
        <v>452.5</v>
      </c>
      <c r="P12" s="32" t="s">
        <v>1123</v>
      </c>
      <c r="Q12" s="31">
        <f>475</f>
        <v>475</v>
      </c>
      <c r="R12" s="32" t="s">
        <v>777</v>
      </c>
      <c r="S12" s="33">
        <f>471.39</f>
        <v>471.39</v>
      </c>
      <c r="T12" s="30">
        <f>146000</f>
        <v>146000</v>
      </c>
      <c r="U12" s="30" t="str">
        <f>"－"</f>
        <v>－</v>
      </c>
      <c r="V12" s="30">
        <f>69666100</f>
        <v>69666100</v>
      </c>
      <c r="W12" s="30" t="str">
        <f>"－"</f>
        <v>－</v>
      </c>
      <c r="X12" s="34">
        <f>18</f>
        <v>18</v>
      </c>
    </row>
    <row r="13" spans="1:24">
      <c r="A13" s="25" t="s">
        <v>1224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40120</f>
        <v>40120</v>
      </c>
      <c r="L13" s="32" t="s">
        <v>1116</v>
      </c>
      <c r="M13" s="31">
        <f>41120</f>
        <v>41120</v>
      </c>
      <c r="N13" s="32" t="s">
        <v>1111</v>
      </c>
      <c r="O13" s="31">
        <f>36210</f>
        <v>36210</v>
      </c>
      <c r="P13" s="32" t="s">
        <v>876</v>
      </c>
      <c r="Q13" s="31">
        <f>39170</f>
        <v>39170</v>
      </c>
      <c r="R13" s="32" t="s">
        <v>777</v>
      </c>
      <c r="S13" s="33">
        <f>38338.42</f>
        <v>38338.42</v>
      </c>
      <c r="T13" s="30">
        <f>1610249</f>
        <v>1610249</v>
      </c>
      <c r="U13" s="30">
        <f>585037</f>
        <v>585037</v>
      </c>
      <c r="V13" s="30">
        <f>62088634144</f>
        <v>62088634144</v>
      </c>
      <c r="W13" s="30">
        <f>22652114264</f>
        <v>22652114264</v>
      </c>
      <c r="X13" s="34">
        <f>19</f>
        <v>19</v>
      </c>
    </row>
    <row r="14" spans="1:24">
      <c r="A14" s="25" t="s">
        <v>1224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40250</f>
        <v>40250</v>
      </c>
      <c r="L14" s="32" t="s">
        <v>1116</v>
      </c>
      <c r="M14" s="31">
        <f>41270</f>
        <v>41270</v>
      </c>
      <c r="N14" s="32" t="s">
        <v>1111</v>
      </c>
      <c r="O14" s="31">
        <f>36330</f>
        <v>36330</v>
      </c>
      <c r="P14" s="32" t="s">
        <v>876</v>
      </c>
      <c r="Q14" s="31">
        <f>39350</f>
        <v>39350</v>
      </c>
      <c r="R14" s="32" t="s">
        <v>777</v>
      </c>
      <c r="S14" s="33">
        <f>38460</f>
        <v>38460</v>
      </c>
      <c r="T14" s="30">
        <f>10095762</f>
        <v>10095762</v>
      </c>
      <c r="U14" s="30">
        <f>1501231</f>
        <v>1501231</v>
      </c>
      <c r="V14" s="30">
        <f>389909212717</f>
        <v>389909212717</v>
      </c>
      <c r="W14" s="30">
        <f>58393967447</f>
        <v>58393967447</v>
      </c>
      <c r="X14" s="34">
        <f>19</f>
        <v>19</v>
      </c>
    </row>
    <row r="15" spans="1:24">
      <c r="A15" s="25" t="s">
        <v>1224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7101</f>
        <v>7101</v>
      </c>
      <c r="L15" s="32" t="s">
        <v>1116</v>
      </c>
      <c r="M15" s="31">
        <f>9250</f>
        <v>9250</v>
      </c>
      <c r="N15" s="32" t="s">
        <v>777</v>
      </c>
      <c r="O15" s="31">
        <f>6551</f>
        <v>6551</v>
      </c>
      <c r="P15" s="32" t="s">
        <v>682</v>
      </c>
      <c r="Q15" s="31">
        <f>9250</f>
        <v>9250</v>
      </c>
      <c r="R15" s="32" t="s">
        <v>777</v>
      </c>
      <c r="S15" s="33">
        <f>7052.16</f>
        <v>7052.16</v>
      </c>
      <c r="T15" s="30">
        <f>35750</f>
        <v>35750</v>
      </c>
      <c r="U15" s="30" t="str">
        <f>"－"</f>
        <v>－</v>
      </c>
      <c r="V15" s="30">
        <f>281895130</f>
        <v>281895130</v>
      </c>
      <c r="W15" s="30" t="str">
        <f>"－"</f>
        <v>－</v>
      </c>
      <c r="X15" s="34">
        <f>19</f>
        <v>19</v>
      </c>
    </row>
    <row r="16" spans="1:24">
      <c r="A16" s="25" t="s">
        <v>1224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 t="s">
        <v>240</v>
      </c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1224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213.5</f>
        <v>213.5</v>
      </c>
      <c r="L17" s="32" t="s">
        <v>1116</v>
      </c>
      <c r="M17" s="31">
        <f>217</f>
        <v>217</v>
      </c>
      <c r="N17" s="32" t="s">
        <v>680</v>
      </c>
      <c r="O17" s="31">
        <f>200.6</f>
        <v>200.6</v>
      </c>
      <c r="P17" s="32" t="s">
        <v>684</v>
      </c>
      <c r="Q17" s="31">
        <f>208</f>
        <v>208</v>
      </c>
      <c r="R17" s="32" t="s">
        <v>777</v>
      </c>
      <c r="S17" s="33">
        <f>207.72</f>
        <v>207.72</v>
      </c>
      <c r="T17" s="30">
        <f>384400</f>
        <v>384400</v>
      </c>
      <c r="U17" s="30">
        <f>800</f>
        <v>800</v>
      </c>
      <c r="V17" s="30">
        <f>79804890</f>
        <v>79804890</v>
      </c>
      <c r="W17" s="30">
        <f>167660</f>
        <v>167660</v>
      </c>
      <c r="X17" s="34">
        <f>19</f>
        <v>19</v>
      </c>
    </row>
    <row r="18" spans="1:24">
      <c r="A18" s="25" t="s">
        <v>1224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33890</f>
        <v>33890</v>
      </c>
      <c r="L18" s="32" t="s">
        <v>1116</v>
      </c>
      <c r="M18" s="31">
        <f>36150</f>
        <v>36150</v>
      </c>
      <c r="N18" s="32" t="s">
        <v>1111</v>
      </c>
      <c r="O18" s="31">
        <f>32790</f>
        <v>32790</v>
      </c>
      <c r="P18" s="32" t="s">
        <v>684</v>
      </c>
      <c r="Q18" s="31">
        <f>34840</f>
        <v>34840</v>
      </c>
      <c r="R18" s="32" t="s">
        <v>777</v>
      </c>
      <c r="S18" s="33">
        <f>33935.79</f>
        <v>33935.79</v>
      </c>
      <c r="T18" s="30">
        <f>171105</f>
        <v>171105</v>
      </c>
      <c r="U18" s="30" t="str">
        <f>"－"</f>
        <v>－</v>
      </c>
      <c r="V18" s="30">
        <f>5861794210</f>
        <v>5861794210</v>
      </c>
      <c r="W18" s="30" t="str">
        <f>"－"</f>
        <v>－</v>
      </c>
      <c r="X18" s="34">
        <f>19</f>
        <v>19</v>
      </c>
    </row>
    <row r="19" spans="1:24">
      <c r="A19" s="25" t="s">
        <v>1224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8919</f>
        <v>8919</v>
      </c>
      <c r="L19" s="32" t="s">
        <v>1116</v>
      </c>
      <c r="M19" s="31">
        <f>9481</f>
        <v>9481</v>
      </c>
      <c r="N19" s="32" t="s">
        <v>1111</v>
      </c>
      <c r="O19" s="31">
        <f>8650</f>
        <v>8650</v>
      </c>
      <c r="P19" s="32" t="s">
        <v>674</v>
      </c>
      <c r="Q19" s="31">
        <f>9152</f>
        <v>9152</v>
      </c>
      <c r="R19" s="32" t="s">
        <v>777</v>
      </c>
      <c r="S19" s="33">
        <f>8939.05</f>
        <v>8939.0499999999993</v>
      </c>
      <c r="T19" s="30">
        <f>231270</f>
        <v>231270</v>
      </c>
      <c r="U19" s="30">
        <f>11180</f>
        <v>11180</v>
      </c>
      <c r="V19" s="30">
        <f>2095669388</f>
        <v>2095669388</v>
      </c>
      <c r="W19" s="30">
        <f>100461378</f>
        <v>100461378</v>
      </c>
      <c r="X19" s="34">
        <f>19</f>
        <v>19</v>
      </c>
    </row>
    <row r="20" spans="1:24">
      <c r="A20" s="25" t="s">
        <v>1224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40360</f>
        <v>40360</v>
      </c>
      <c r="L20" s="32" t="s">
        <v>1116</v>
      </c>
      <c r="M20" s="31">
        <f>41360</f>
        <v>41360</v>
      </c>
      <c r="N20" s="32" t="s">
        <v>1111</v>
      </c>
      <c r="O20" s="31">
        <f>36420</f>
        <v>36420</v>
      </c>
      <c r="P20" s="32" t="s">
        <v>876</v>
      </c>
      <c r="Q20" s="31">
        <f>39390</f>
        <v>39390</v>
      </c>
      <c r="R20" s="32" t="s">
        <v>777</v>
      </c>
      <c r="S20" s="33">
        <f>38589.47</f>
        <v>38589.47</v>
      </c>
      <c r="T20" s="30">
        <f>1577814</f>
        <v>1577814</v>
      </c>
      <c r="U20" s="30">
        <f>450714</f>
        <v>450714</v>
      </c>
      <c r="V20" s="30">
        <f>60975833483</f>
        <v>60975833483</v>
      </c>
      <c r="W20" s="30">
        <f>17541601223</f>
        <v>17541601223</v>
      </c>
      <c r="X20" s="34">
        <f>19</f>
        <v>19</v>
      </c>
    </row>
    <row r="21" spans="1:24">
      <c r="A21" s="25" t="s">
        <v>1224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40290</f>
        <v>40290</v>
      </c>
      <c r="L21" s="32" t="s">
        <v>1116</v>
      </c>
      <c r="M21" s="31">
        <f>41300</f>
        <v>41300</v>
      </c>
      <c r="N21" s="32" t="s">
        <v>1111</v>
      </c>
      <c r="O21" s="31">
        <f>36360</f>
        <v>36360</v>
      </c>
      <c r="P21" s="32" t="s">
        <v>876</v>
      </c>
      <c r="Q21" s="31">
        <f>39400</f>
        <v>39400</v>
      </c>
      <c r="R21" s="32" t="s">
        <v>777</v>
      </c>
      <c r="S21" s="33">
        <f>38502.63</f>
        <v>38502.629999999997</v>
      </c>
      <c r="T21" s="30">
        <f>2034534</f>
        <v>2034534</v>
      </c>
      <c r="U21" s="30">
        <f>1093889</f>
        <v>1093889</v>
      </c>
      <c r="V21" s="30">
        <f>79080874335</f>
        <v>79080874335</v>
      </c>
      <c r="W21" s="30">
        <f>42755251755</f>
        <v>42755251755</v>
      </c>
      <c r="X21" s="34">
        <f>19</f>
        <v>19</v>
      </c>
    </row>
    <row r="22" spans="1:24">
      <c r="A22" s="25" t="s">
        <v>1224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1001</f>
        <v>1001</v>
      </c>
      <c r="L22" s="32" t="s">
        <v>1116</v>
      </c>
      <c r="M22" s="31">
        <f>1004</f>
        <v>1004</v>
      </c>
      <c r="N22" s="32" t="s">
        <v>1145</v>
      </c>
      <c r="O22" s="31">
        <f>958</f>
        <v>958</v>
      </c>
      <c r="P22" s="32" t="s">
        <v>682</v>
      </c>
      <c r="Q22" s="31">
        <f>963</f>
        <v>963</v>
      </c>
      <c r="R22" s="32" t="s">
        <v>777</v>
      </c>
      <c r="S22" s="33">
        <f>976.37</f>
        <v>976.37</v>
      </c>
      <c r="T22" s="30">
        <f>11433392</f>
        <v>11433392</v>
      </c>
      <c r="U22" s="30">
        <f>10140024</f>
        <v>10140024</v>
      </c>
      <c r="V22" s="30">
        <f>11222158486</f>
        <v>11222158486</v>
      </c>
      <c r="W22" s="30">
        <f>9962119816</f>
        <v>9962119816</v>
      </c>
      <c r="X22" s="34">
        <f>19</f>
        <v>19</v>
      </c>
    </row>
    <row r="23" spans="1:24">
      <c r="A23" s="25" t="s">
        <v>1224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1904</f>
        <v>1904</v>
      </c>
      <c r="L23" s="32" t="s">
        <v>1116</v>
      </c>
      <c r="M23" s="31">
        <f>1909</f>
        <v>1909</v>
      </c>
      <c r="N23" s="32" t="s">
        <v>1116</v>
      </c>
      <c r="O23" s="31">
        <f>1863</f>
        <v>1863</v>
      </c>
      <c r="P23" s="32" t="s">
        <v>777</v>
      </c>
      <c r="Q23" s="31">
        <f>1865</f>
        <v>1865</v>
      </c>
      <c r="R23" s="32" t="s">
        <v>777</v>
      </c>
      <c r="S23" s="33">
        <f>1888.18</f>
        <v>1888.18</v>
      </c>
      <c r="T23" s="30">
        <f>10828500</f>
        <v>10828500</v>
      </c>
      <c r="U23" s="30">
        <f>3406380</f>
        <v>3406380</v>
      </c>
      <c r="V23" s="30">
        <f>20468953312</f>
        <v>20468953312</v>
      </c>
      <c r="W23" s="30">
        <f>6443729642</f>
        <v>6443729642</v>
      </c>
      <c r="X23" s="34">
        <f>19</f>
        <v>19</v>
      </c>
    </row>
    <row r="24" spans="1:24">
      <c r="A24" s="25" t="s">
        <v>1224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1806.5</f>
        <v>1806.5</v>
      </c>
      <c r="L24" s="32" t="s">
        <v>1116</v>
      </c>
      <c r="M24" s="31">
        <f>1806.5</f>
        <v>1806.5</v>
      </c>
      <c r="N24" s="32" t="s">
        <v>1116</v>
      </c>
      <c r="O24" s="31">
        <f>1745</f>
        <v>1745</v>
      </c>
      <c r="P24" s="32" t="s">
        <v>777</v>
      </c>
      <c r="Q24" s="31">
        <f>1748</f>
        <v>1748</v>
      </c>
      <c r="R24" s="32" t="s">
        <v>777</v>
      </c>
      <c r="S24" s="33">
        <f>1771.34</f>
        <v>1771.34</v>
      </c>
      <c r="T24" s="30">
        <f>4584800</f>
        <v>4584800</v>
      </c>
      <c r="U24" s="30">
        <f>1630200</f>
        <v>1630200</v>
      </c>
      <c r="V24" s="30">
        <f>8135696610</f>
        <v>8135696610</v>
      </c>
      <c r="W24" s="30">
        <f>2893780960</f>
        <v>2893780960</v>
      </c>
      <c r="X24" s="34">
        <f>19</f>
        <v>19</v>
      </c>
    </row>
    <row r="25" spans="1:24">
      <c r="A25" s="25" t="s">
        <v>1224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40370</f>
        <v>40370</v>
      </c>
      <c r="L25" s="32" t="s">
        <v>1116</v>
      </c>
      <c r="M25" s="31">
        <f>41310</f>
        <v>41310</v>
      </c>
      <c r="N25" s="32" t="s">
        <v>1111</v>
      </c>
      <c r="O25" s="31">
        <f>36380</f>
        <v>36380</v>
      </c>
      <c r="P25" s="32" t="s">
        <v>876</v>
      </c>
      <c r="Q25" s="31">
        <f>39320</f>
        <v>39320</v>
      </c>
      <c r="R25" s="32" t="s">
        <v>777</v>
      </c>
      <c r="S25" s="33">
        <f>38528.42</f>
        <v>38528.42</v>
      </c>
      <c r="T25" s="30">
        <f>1070693</f>
        <v>1070693</v>
      </c>
      <c r="U25" s="30">
        <f>454926</f>
        <v>454926</v>
      </c>
      <c r="V25" s="30">
        <f>41631541574</f>
        <v>41631541574</v>
      </c>
      <c r="W25" s="30">
        <f>17838880684</f>
        <v>17838880684</v>
      </c>
      <c r="X25" s="34">
        <f>19</f>
        <v>19</v>
      </c>
    </row>
    <row r="26" spans="1:24">
      <c r="A26" s="25" t="s">
        <v>1224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2825</f>
        <v>2825</v>
      </c>
      <c r="L26" s="32" t="s">
        <v>1116</v>
      </c>
      <c r="M26" s="31">
        <f>2867</f>
        <v>2867</v>
      </c>
      <c r="N26" s="32" t="s">
        <v>1111</v>
      </c>
      <c r="O26" s="31">
        <f>2596.5</f>
        <v>2596.5</v>
      </c>
      <c r="P26" s="32" t="s">
        <v>684</v>
      </c>
      <c r="Q26" s="31">
        <f>2756</f>
        <v>2756</v>
      </c>
      <c r="R26" s="32" t="s">
        <v>777</v>
      </c>
      <c r="S26" s="33">
        <f>2723.42</f>
        <v>2723.42</v>
      </c>
      <c r="T26" s="30">
        <f>5097000</f>
        <v>5097000</v>
      </c>
      <c r="U26" s="30">
        <f>2335050</f>
        <v>2335050</v>
      </c>
      <c r="V26" s="30">
        <f>13962042934</f>
        <v>13962042934</v>
      </c>
      <c r="W26" s="30">
        <f>6384544199</f>
        <v>6384544199</v>
      </c>
      <c r="X26" s="34">
        <f>19</f>
        <v>19</v>
      </c>
    </row>
    <row r="27" spans="1:24">
      <c r="A27" s="25" t="s">
        <v>1224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16150</f>
        <v>16150</v>
      </c>
      <c r="L27" s="32" t="s">
        <v>1116</v>
      </c>
      <c r="M27" s="31">
        <f>17055</f>
        <v>17055</v>
      </c>
      <c r="N27" s="32" t="s">
        <v>675</v>
      </c>
      <c r="O27" s="31">
        <f>15730</f>
        <v>15730</v>
      </c>
      <c r="P27" s="32" t="s">
        <v>682</v>
      </c>
      <c r="Q27" s="31">
        <f>16285</f>
        <v>16285</v>
      </c>
      <c r="R27" s="32" t="s">
        <v>777</v>
      </c>
      <c r="S27" s="33">
        <f>16118.82</f>
        <v>16118.82</v>
      </c>
      <c r="T27" s="30">
        <f>1334</f>
        <v>1334</v>
      </c>
      <c r="U27" s="30" t="str">
        <f>"－"</f>
        <v>－</v>
      </c>
      <c r="V27" s="30">
        <f>21464125</f>
        <v>21464125</v>
      </c>
      <c r="W27" s="30" t="str">
        <f>"－"</f>
        <v>－</v>
      </c>
      <c r="X27" s="34">
        <f>17</f>
        <v>17</v>
      </c>
    </row>
    <row r="28" spans="1:24">
      <c r="A28" s="25" t="s">
        <v>1224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336.5</f>
        <v>336.5</v>
      </c>
      <c r="L28" s="32" t="s">
        <v>1116</v>
      </c>
      <c r="M28" s="31">
        <f>397.5</f>
        <v>397.5</v>
      </c>
      <c r="N28" s="32" t="s">
        <v>684</v>
      </c>
      <c r="O28" s="31">
        <f>320.8</f>
        <v>320.8</v>
      </c>
      <c r="P28" s="32" t="s">
        <v>1111</v>
      </c>
      <c r="Q28" s="31">
        <f>347.6</f>
        <v>347.6</v>
      </c>
      <c r="R28" s="32" t="s">
        <v>777</v>
      </c>
      <c r="S28" s="33">
        <f>361.34</f>
        <v>361.34</v>
      </c>
      <c r="T28" s="30">
        <f>56814360</f>
        <v>56814360</v>
      </c>
      <c r="U28" s="30">
        <f>1710</f>
        <v>1710</v>
      </c>
      <c r="V28" s="30">
        <f>20502852810</f>
        <v>20502852810</v>
      </c>
      <c r="W28" s="30">
        <f>613689</f>
        <v>613689</v>
      </c>
      <c r="X28" s="34">
        <f>19</f>
        <v>19</v>
      </c>
    </row>
    <row r="29" spans="1:24">
      <c r="A29" s="25" t="s">
        <v>1224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127</f>
        <v>127</v>
      </c>
      <c r="L29" s="32" t="s">
        <v>1116</v>
      </c>
      <c r="M29" s="31">
        <f>155</f>
        <v>155</v>
      </c>
      <c r="N29" s="32" t="s">
        <v>876</v>
      </c>
      <c r="O29" s="31">
        <f>118</f>
        <v>118</v>
      </c>
      <c r="P29" s="32" t="s">
        <v>1111</v>
      </c>
      <c r="Q29" s="31">
        <f>130</f>
        <v>130</v>
      </c>
      <c r="R29" s="32" t="s">
        <v>777</v>
      </c>
      <c r="S29" s="33">
        <f>138.16</f>
        <v>138.16</v>
      </c>
      <c r="T29" s="30">
        <f>1285381547</f>
        <v>1285381547</v>
      </c>
      <c r="U29" s="30">
        <f>33393054</f>
        <v>33393054</v>
      </c>
      <c r="V29" s="30">
        <f>176686320704</f>
        <v>176686320704</v>
      </c>
      <c r="W29" s="30">
        <f>4473355789</f>
        <v>4473355789</v>
      </c>
      <c r="X29" s="34">
        <f>19</f>
        <v>19</v>
      </c>
    </row>
    <row r="30" spans="1:24">
      <c r="A30" s="25" t="s">
        <v>1224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51000</f>
        <v>51000</v>
      </c>
      <c r="L30" s="32" t="s">
        <v>1116</v>
      </c>
      <c r="M30" s="31">
        <f>53170</f>
        <v>53170</v>
      </c>
      <c r="N30" s="32" t="s">
        <v>1111</v>
      </c>
      <c r="O30" s="31">
        <f>41310</f>
        <v>41310</v>
      </c>
      <c r="P30" s="32" t="s">
        <v>876</v>
      </c>
      <c r="Q30" s="31">
        <f>47870</f>
        <v>47870</v>
      </c>
      <c r="R30" s="32" t="s">
        <v>777</v>
      </c>
      <c r="S30" s="33">
        <f>46334.74</f>
        <v>46334.74</v>
      </c>
      <c r="T30" s="30">
        <f>322441</f>
        <v>322441</v>
      </c>
      <c r="U30" s="30">
        <f>2</f>
        <v>2</v>
      </c>
      <c r="V30" s="30">
        <f>15051251840</f>
        <v>15051251840</v>
      </c>
      <c r="W30" s="30">
        <f>99800</f>
        <v>99800</v>
      </c>
      <c r="X30" s="34">
        <f>19</f>
        <v>19</v>
      </c>
    </row>
    <row r="31" spans="1:24">
      <c r="A31" s="25" t="s">
        <v>1224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311.2</f>
        <v>311.2</v>
      </c>
      <c r="L31" s="32" t="s">
        <v>1116</v>
      </c>
      <c r="M31" s="31">
        <f>380.2</f>
        <v>380.2</v>
      </c>
      <c r="N31" s="32" t="s">
        <v>684</v>
      </c>
      <c r="O31" s="31">
        <f>291.3</f>
        <v>291.3</v>
      </c>
      <c r="P31" s="32" t="s">
        <v>1111</v>
      </c>
      <c r="Q31" s="31">
        <f>318.6</f>
        <v>318.60000000000002</v>
      </c>
      <c r="R31" s="32" t="s">
        <v>777</v>
      </c>
      <c r="S31" s="33">
        <f>339.19</f>
        <v>339.19</v>
      </c>
      <c r="T31" s="30">
        <f>898755130</f>
        <v>898755130</v>
      </c>
      <c r="U31" s="30">
        <f>9392840</f>
        <v>9392840</v>
      </c>
      <c r="V31" s="30">
        <f>304963997445</f>
        <v>304963997445</v>
      </c>
      <c r="W31" s="30">
        <f>3211653639</f>
        <v>3211653639</v>
      </c>
      <c r="X31" s="34">
        <f>19</f>
        <v>19</v>
      </c>
    </row>
    <row r="32" spans="1:24">
      <c r="A32" s="25" t="s">
        <v>1224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25510</f>
        <v>25510</v>
      </c>
      <c r="L32" s="32" t="s">
        <v>1116</v>
      </c>
      <c r="M32" s="31">
        <f>26130</f>
        <v>26130</v>
      </c>
      <c r="N32" s="32" t="s">
        <v>1111</v>
      </c>
      <c r="O32" s="31">
        <f>23400</f>
        <v>23400</v>
      </c>
      <c r="P32" s="32" t="s">
        <v>684</v>
      </c>
      <c r="Q32" s="31">
        <f>24855</f>
        <v>24855</v>
      </c>
      <c r="R32" s="32" t="s">
        <v>777</v>
      </c>
      <c r="S32" s="33">
        <f>24547.11</f>
        <v>24547.11</v>
      </c>
      <c r="T32" s="30">
        <f>35432</f>
        <v>35432</v>
      </c>
      <c r="U32" s="30">
        <f>8370</f>
        <v>8370</v>
      </c>
      <c r="V32" s="30">
        <f>865957688</f>
        <v>865957688</v>
      </c>
      <c r="W32" s="30">
        <f>199570073</f>
        <v>199570073</v>
      </c>
      <c r="X32" s="34">
        <f>19</f>
        <v>19</v>
      </c>
    </row>
    <row r="33" spans="1:24">
      <c r="A33" s="25" t="s">
        <v>1224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41910</f>
        <v>41910</v>
      </c>
      <c r="L33" s="32" t="s">
        <v>1116</v>
      </c>
      <c r="M33" s="31">
        <f>43720</f>
        <v>43720</v>
      </c>
      <c r="N33" s="32" t="s">
        <v>1111</v>
      </c>
      <c r="O33" s="31">
        <f>33930</f>
        <v>33930</v>
      </c>
      <c r="P33" s="32" t="s">
        <v>876</v>
      </c>
      <c r="Q33" s="31">
        <f>39510</f>
        <v>39510</v>
      </c>
      <c r="R33" s="32" t="s">
        <v>777</v>
      </c>
      <c r="S33" s="33">
        <f>38078.95</f>
        <v>38078.949999999997</v>
      </c>
      <c r="T33" s="30">
        <f>1225162</f>
        <v>1225162</v>
      </c>
      <c r="U33" s="30">
        <f>21086</f>
        <v>21086</v>
      </c>
      <c r="V33" s="30">
        <f>46735121049</f>
        <v>46735121049</v>
      </c>
      <c r="W33" s="30">
        <f>812867809</f>
        <v>812867809</v>
      </c>
      <c r="X33" s="34">
        <f>19</f>
        <v>19</v>
      </c>
    </row>
    <row r="34" spans="1:24">
      <c r="A34" s="25" t="s">
        <v>1224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320</f>
        <v>320</v>
      </c>
      <c r="L34" s="32" t="s">
        <v>1116</v>
      </c>
      <c r="M34" s="31">
        <f>391</f>
        <v>391</v>
      </c>
      <c r="N34" s="32" t="s">
        <v>876</v>
      </c>
      <c r="O34" s="31">
        <f>299</f>
        <v>299</v>
      </c>
      <c r="P34" s="32" t="s">
        <v>1111</v>
      </c>
      <c r="Q34" s="31">
        <f>327</f>
        <v>327</v>
      </c>
      <c r="R34" s="32" t="s">
        <v>777</v>
      </c>
      <c r="S34" s="33">
        <f>348.58</f>
        <v>348.58</v>
      </c>
      <c r="T34" s="30">
        <f>53338899</f>
        <v>53338899</v>
      </c>
      <c r="U34" s="30">
        <f>1042496</f>
        <v>1042496</v>
      </c>
      <c r="V34" s="30">
        <f>18672904118</f>
        <v>18672904118</v>
      </c>
      <c r="W34" s="30">
        <f>366029081</f>
        <v>366029081</v>
      </c>
      <c r="X34" s="34">
        <f>19</f>
        <v>19</v>
      </c>
    </row>
    <row r="35" spans="1:24">
      <c r="A35" s="25" t="s">
        <v>1224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35950</f>
        <v>35950</v>
      </c>
      <c r="L35" s="32" t="s">
        <v>1116</v>
      </c>
      <c r="M35" s="31">
        <f>36980</f>
        <v>36980</v>
      </c>
      <c r="N35" s="32" t="s">
        <v>1111</v>
      </c>
      <c r="O35" s="31">
        <f>30060</f>
        <v>30060</v>
      </c>
      <c r="P35" s="32" t="s">
        <v>684</v>
      </c>
      <c r="Q35" s="31">
        <f>34010</f>
        <v>34010</v>
      </c>
      <c r="R35" s="32" t="s">
        <v>777</v>
      </c>
      <c r="S35" s="33">
        <f>33160.53</f>
        <v>33160.53</v>
      </c>
      <c r="T35" s="30">
        <f>241264</f>
        <v>241264</v>
      </c>
      <c r="U35" s="30">
        <f>5904</f>
        <v>5904</v>
      </c>
      <c r="V35" s="30">
        <f>7940216830</f>
        <v>7940216830</v>
      </c>
      <c r="W35" s="30">
        <f>195945390</f>
        <v>195945390</v>
      </c>
      <c r="X35" s="34">
        <f>19</f>
        <v>19</v>
      </c>
    </row>
    <row r="36" spans="1:24">
      <c r="A36" s="25" t="s">
        <v>1224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486</f>
        <v>486</v>
      </c>
      <c r="L36" s="32" t="s">
        <v>1116</v>
      </c>
      <c r="M36" s="31">
        <f>574</f>
        <v>574</v>
      </c>
      <c r="N36" s="32" t="s">
        <v>684</v>
      </c>
      <c r="O36" s="31">
        <f>467</f>
        <v>467</v>
      </c>
      <c r="P36" s="32" t="s">
        <v>1111</v>
      </c>
      <c r="Q36" s="31">
        <f>500</f>
        <v>500</v>
      </c>
      <c r="R36" s="32" t="s">
        <v>777</v>
      </c>
      <c r="S36" s="33">
        <f>522.42</f>
        <v>522.41999999999996</v>
      </c>
      <c r="T36" s="30">
        <f>3974062</f>
        <v>3974062</v>
      </c>
      <c r="U36" s="30">
        <f>6966</f>
        <v>6966</v>
      </c>
      <c r="V36" s="30">
        <f>2082216531</f>
        <v>2082216531</v>
      </c>
      <c r="W36" s="30">
        <f>3668416</f>
        <v>3668416</v>
      </c>
      <c r="X36" s="34">
        <f>19</f>
        <v>19</v>
      </c>
    </row>
    <row r="37" spans="1:24">
      <c r="A37" s="25" t="s">
        <v>1224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39150</f>
        <v>39150</v>
      </c>
      <c r="L37" s="32" t="s">
        <v>1116</v>
      </c>
      <c r="M37" s="31">
        <f>40100</f>
        <v>40100</v>
      </c>
      <c r="N37" s="32" t="s">
        <v>1111</v>
      </c>
      <c r="O37" s="31">
        <f>35340</f>
        <v>35340</v>
      </c>
      <c r="P37" s="32" t="s">
        <v>876</v>
      </c>
      <c r="Q37" s="31">
        <f>38210</f>
        <v>38210</v>
      </c>
      <c r="R37" s="32" t="s">
        <v>777</v>
      </c>
      <c r="S37" s="33">
        <f>37377.89</f>
        <v>37377.89</v>
      </c>
      <c r="T37" s="30">
        <f>369917</f>
        <v>369917</v>
      </c>
      <c r="U37" s="30">
        <f>38188</f>
        <v>38188</v>
      </c>
      <c r="V37" s="30">
        <f>13928956742</f>
        <v>13928956742</v>
      </c>
      <c r="W37" s="30">
        <f>1512879922</f>
        <v>1512879922</v>
      </c>
      <c r="X37" s="34">
        <f>19</f>
        <v>19</v>
      </c>
    </row>
    <row r="38" spans="1:24">
      <c r="A38" s="25" t="s">
        <v>1224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39510</f>
        <v>39510</v>
      </c>
      <c r="L38" s="32" t="s">
        <v>1116</v>
      </c>
      <c r="M38" s="31">
        <f>40500</f>
        <v>40500</v>
      </c>
      <c r="N38" s="32" t="s">
        <v>1111</v>
      </c>
      <c r="O38" s="31">
        <f>35680</f>
        <v>35680</v>
      </c>
      <c r="P38" s="32" t="s">
        <v>876</v>
      </c>
      <c r="Q38" s="31">
        <f>38500</f>
        <v>38500</v>
      </c>
      <c r="R38" s="32" t="s">
        <v>777</v>
      </c>
      <c r="S38" s="33">
        <f>37740.53</f>
        <v>37740.53</v>
      </c>
      <c r="T38" s="30">
        <f>201784</f>
        <v>201784</v>
      </c>
      <c r="U38" s="30">
        <f>52657</f>
        <v>52657</v>
      </c>
      <c r="V38" s="30">
        <f>7716117114</f>
        <v>7716117114</v>
      </c>
      <c r="W38" s="30">
        <f>2037836344</f>
        <v>2037836344</v>
      </c>
      <c r="X38" s="34">
        <f>19</f>
        <v>19</v>
      </c>
    </row>
    <row r="39" spans="1:24">
      <c r="A39" s="25" t="s">
        <v>1224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1830.5</f>
        <v>1830.5</v>
      </c>
      <c r="L39" s="32" t="s">
        <v>1116</v>
      </c>
      <c r="M39" s="31">
        <f>1833.5</f>
        <v>1833.5</v>
      </c>
      <c r="N39" s="32" t="s">
        <v>1116</v>
      </c>
      <c r="O39" s="31">
        <f>1767</f>
        <v>1767</v>
      </c>
      <c r="P39" s="32" t="s">
        <v>777</v>
      </c>
      <c r="Q39" s="31">
        <f>1767.5</f>
        <v>1767.5</v>
      </c>
      <c r="R39" s="32" t="s">
        <v>777</v>
      </c>
      <c r="S39" s="33">
        <f>1793.71</f>
        <v>1793.71</v>
      </c>
      <c r="T39" s="30">
        <f>2322700</f>
        <v>2322700</v>
      </c>
      <c r="U39" s="30">
        <f>1052860</f>
        <v>1052860</v>
      </c>
      <c r="V39" s="30">
        <f>4163081576</f>
        <v>4163081576</v>
      </c>
      <c r="W39" s="30">
        <f>1880918746</f>
        <v>1880918746</v>
      </c>
      <c r="X39" s="34">
        <f>19</f>
        <v>19</v>
      </c>
    </row>
    <row r="40" spans="1:24">
      <c r="A40" s="25" t="s">
        <v>1224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2259</f>
        <v>2259</v>
      </c>
      <c r="L40" s="32" t="s">
        <v>1116</v>
      </c>
      <c r="M40" s="31">
        <f>2278.5</f>
        <v>2278.5</v>
      </c>
      <c r="N40" s="32" t="s">
        <v>1111</v>
      </c>
      <c r="O40" s="31">
        <f>2123.5</f>
        <v>2123.5</v>
      </c>
      <c r="P40" s="32" t="s">
        <v>684</v>
      </c>
      <c r="Q40" s="31">
        <f>2214.5</f>
        <v>2214.5</v>
      </c>
      <c r="R40" s="32" t="s">
        <v>777</v>
      </c>
      <c r="S40" s="33">
        <f>2192.06</f>
        <v>2192.06</v>
      </c>
      <c r="T40" s="30">
        <f>67990</f>
        <v>67990</v>
      </c>
      <c r="U40" s="30">
        <f>45020</f>
        <v>45020</v>
      </c>
      <c r="V40" s="30">
        <f>148711988</f>
        <v>148711988</v>
      </c>
      <c r="W40" s="30">
        <f>98682088</f>
        <v>98682088</v>
      </c>
      <c r="X40" s="34">
        <f>18</f>
        <v>18</v>
      </c>
    </row>
    <row r="41" spans="1:24">
      <c r="A41" s="25" t="s">
        <v>1224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1941</f>
        <v>1941</v>
      </c>
      <c r="L41" s="32" t="s">
        <v>1116</v>
      </c>
      <c r="M41" s="31">
        <f>1947</f>
        <v>1947</v>
      </c>
      <c r="N41" s="32" t="s">
        <v>1145</v>
      </c>
      <c r="O41" s="31">
        <f>1911</f>
        <v>1911</v>
      </c>
      <c r="P41" s="32" t="s">
        <v>678</v>
      </c>
      <c r="Q41" s="31">
        <f>1926</f>
        <v>1926</v>
      </c>
      <c r="R41" s="32" t="s">
        <v>777</v>
      </c>
      <c r="S41" s="33">
        <f>1925.58</f>
        <v>1925.58</v>
      </c>
      <c r="T41" s="30">
        <f>8022</f>
        <v>8022</v>
      </c>
      <c r="U41" s="30" t="str">
        <f>"－"</f>
        <v>－</v>
      </c>
      <c r="V41" s="30">
        <f>15437517</f>
        <v>15437517</v>
      </c>
      <c r="W41" s="30" t="str">
        <f>"－"</f>
        <v>－</v>
      </c>
      <c r="X41" s="34">
        <f>19</f>
        <v>19</v>
      </c>
    </row>
    <row r="42" spans="1:24">
      <c r="A42" s="25" t="s">
        <v>1224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2527</f>
        <v>2527</v>
      </c>
      <c r="L42" s="32" t="s">
        <v>1116</v>
      </c>
      <c r="M42" s="31">
        <f>2796</f>
        <v>2796</v>
      </c>
      <c r="N42" s="32" t="s">
        <v>684</v>
      </c>
      <c r="O42" s="31">
        <f>2449</f>
        <v>2449</v>
      </c>
      <c r="P42" s="32" t="s">
        <v>1111</v>
      </c>
      <c r="Q42" s="31">
        <f>2570</f>
        <v>2570</v>
      </c>
      <c r="R42" s="32" t="s">
        <v>777</v>
      </c>
      <c r="S42" s="33">
        <f>2641.21</f>
        <v>2641.21</v>
      </c>
      <c r="T42" s="30">
        <f>4661281</f>
        <v>4661281</v>
      </c>
      <c r="U42" s="30">
        <f>952023</f>
        <v>952023</v>
      </c>
      <c r="V42" s="30">
        <f>12285602990</f>
        <v>12285602990</v>
      </c>
      <c r="W42" s="30">
        <f>2409199053</f>
        <v>2409199053</v>
      </c>
      <c r="X42" s="34">
        <f>19</f>
        <v>19</v>
      </c>
    </row>
    <row r="43" spans="1:24">
      <c r="A43" s="25" t="s">
        <v>1224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3010</f>
        <v>3010</v>
      </c>
      <c r="L43" s="32" t="s">
        <v>1116</v>
      </c>
      <c r="M43" s="31">
        <f>3275</f>
        <v>3275</v>
      </c>
      <c r="N43" s="32" t="s">
        <v>684</v>
      </c>
      <c r="O43" s="31">
        <f>2955</f>
        <v>2955</v>
      </c>
      <c r="P43" s="32" t="s">
        <v>1111</v>
      </c>
      <c r="Q43" s="31">
        <f>3065</f>
        <v>3065</v>
      </c>
      <c r="R43" s="32" t="s">
        <v>777</v>
      </c>
      <c r="S43" s="33">
        <f>3122.37</f>
        <v>3122.37</v>
      </c>
      <c r="T43" s="30">
        <f>314092</f>
        <v>314092</v>
      </c>
      <c r="U43" s="30">
        <f>3931</f>
        <v>3931</v>
      </c>
      <c r="V43" s="30">
        <f>971585890</f>
        <v>971585890</v>
      </c>
      <c r="W43" s="30">
        <f>11920193</f>
        <v>11920193</v>
      </c>
      <c r="X43" s="34">
        <f>19</f>
        <v>19</v>
      </c>
    </row>
    <row r="44" spans="1:24">
      <c r="A44" s="25" t="s">
        <v>1224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32130</f>
        <v>32130</v>
      </c>
      <c r="L44" s="32" t="s">
        <v>1116</v>
      </c>
      <c r="M44" s="31">
        <f>33550</f>
        <v>33550</v>
      </c>
      <c r="N44" s="32" t="s">
        <v>1111</v>
      </c>
      <c r="O44" s="31">
        <f>26020</f>
        <v>26020</v>
      </c>
      <c r="P44" s="32" t="s">
        <v>876</v>
      </c>
      <c r="Q44" s="31">
        <f>30420</f>
        <v>30420</v>
      </c>
      <c r="R44" s="32" t="s">
        <v>777</v>
      </c>
      <c r="S44" s="33">
        <f>29190.26</f>
        <v>29190.26</v>
      </c>
      <c r="T44" s="30">
        <f>7660554</f>
        <v>7660554</v>
      </c>
      <c r="U44" s="30">
        <f>111915</f>
        <v>111915</v>
      </c>
      <c r="V44" s="30">
        <f>223733748526</f>
        <v>223733748526</v>
      </c>
      <c r="W44" s="30">
        <f>3269115136</f>
        <v>3269115136</v>
      </c>
      <c r="X44" s="34">
        <f>19</f>
        <v>19</v>
      </c>
    </row>
    <row r="45" spans="1:24">
      <c r="A45" s="25" t="s">
        <v>1224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510</f>
        <v>510</v>
      </c>
      <c r="L45" s="32" t="s">
        <v>1116</v>
      </c>
      <c r="M45" s="31">
        <f>624</f>
        <v>624</v>
      </c>
      <c r="N45" s="32" t="s">
        <v>684</v>
      </c>
      <c r="O45" s="31">
        <f>477</f>
        <v>477</v>
      </c>
      <c r="P45" s="32" t="s">
        <v>1111</v>
      </c>
      <c r="Q45" s="31">
        <f>524</f>
        <v>524</v>
      </c>
      <c r="R45" s="32" t="s">
        <v>777</v>
      </c>
      <c r="S45" s="33">
        <f>557.11</f>
        <v>557.11</v>
      </c>
      <c r="T45" s="30">
        <f>302458366</f>
        <v>302458366</v>
      </c>
      <c r="U45" s="30">
        <f>3322204</f>
        <v>3322204</v>
      </c>
      <c r="V45" s="30">
        <f>169028657390</f>
        <v>169028657390</v>
      </c>
      <c r="W45" s="30">
        <f>1861048428</f>
        <v>1861048428</v>
      </c>
      <c r="X45" s="34">
        <f>19</f>
        <v>19</v>
      </c>
    </row>
    <row r="46" spans="1:24">
      <c r="A46" s="25" t="s">
        <v>1224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 t="s">
        <v>240</v>
      </c>
      <c r="I46" s="29" t="s">
        <v>44</v>
      </c>
      <c r="J46" s="30">
        <v>1</v>
      </c>
      <c r="K46" s="31">
        <f>29790</f>
        <v>29790</v>
      </c>
      <c r="L46" s="32" t="s">
        <v>1116</v>
      </c>
      <c r="M46" s="31">
        <f>30500</f>
        <v>30500</v>
      </c>
      <c r="N46" s="32" t="s">
        <v>1111</v>
      </c>
      <c r="O46" s="31">
        <f>24200</f>
        <v>24200</v>
      </c>
      <c r="P46" s="32" t="s">
        <v>876</v>
      </c>
      <c r="Q46" s="31">
        <f>28040</f>
        <v>28040</v>
      </c>
      <c r="R46" s="32" t="s">
        <v>777</v>
      </c>
      <c r="S46" s="33">
        <f>27261.32</f>
        <v>27261.32</v>
      </c>
      <c r="T46" s="30">
        <f>2807</f>
        <v>2807</v>
      </c>
      <c r="U46" s="30" t="str">
        <f>"－"</f>
        <v>－</v>
      </c>
      <c r="V46" s="30">
        <f>75836010</f>
        <v>75836010</v>
      </c>
      <c r="W46" s="30" t="str">
        <f>"－"</f>
        <v>－</v>
      </c>
      <c r="X46" s="34">
        <f>19</f>
        <v>19</v>
      </c>
    </row>
    <row r="47" spans="1:24">
      <c r="A47" s="25" t="s">
        <v>1224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 t="s">
        <v>240</v>
      </c>
      <c r="I47" s="29" t="s">
        <v>44</v>
      </c>
      <c r="J47" s="30">
        <v>1</v>
      </c>
      <c r="K47" s="31">
        <f>2900</f>
        <v>2900</v>
      </c>
      <c r="L47" s="32" t="s">
        <v>1116</v>
      </c>
      <c r="M47" s="31">
        <f>3150</f>
        <v>3150</v>
      </c>
      <c r="N47" s="32" t="s">
        <v>876</v>
      </c>
      <c r="O47" s="31">
        <f>2790</f>
        <v>2790</v>
      </c>
      <c r="P47" s="32" t="s">
        <v>1111</v>
      </c>
      <c r="Q47" s="31">
        <f>2900</f>
        <v>2900</v>
      </c>
      <c r="R47" s="32" t="s">
        <v>777</v>
      </c>
      <c r="S47" s="33">
        <f>2960.32</f>
        <v>2960.32</v>
      </c>
      <c r="T47" s="30">
        <f>10191</f>
        <v>10191</v>
      </c>
      <c r="U47" s="30" t="str">
        <f>"－"</f>
        <v>－</v>
      </c>
      <c r="V47" s="30">
        <f>30406684</f>
        <v>30406684</v>
      </c>
      <c r="W47" s="30" t="str">
        <f>"－"</f>
        <v>－</v>
      </c>
      <c r="X47" s="34">
        <f>19</f>
        <v>19</v>
      </c>
    </row>
    <row r="48" spans="1:24">
      <c r="A48" s="25" t="s">
        <v>1224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615</f>
        <v>615</v>
      </c>
      <c r="L48" s="32" t="s">
        <v>1116</v>
      </c>
      <c r="M48" s="31">
        <f>735</f>
        <v>735</v>
      </c>
      <c r="N48" s="32" t="s">
        <v>876</v>
      </c>
      <c r="O48" s="31">
        <f>590</f>
        <v>590</v>
      </c>
      <c r="P48" s="32" t="s">
        <v>1116</v>
      </c>
      <c r="Q48" s="31">
        <f>628</f>
        <v>628</v>
      </c>
      <c r="R48" s="32" t="s">
        <v>777</v>
      </c>
      <c r="S48" s="33">
        <f>654</f>
        <v>654</v>
      </c>
      <c r="T48" s="30">
        <f>111539</f>
        <v>111539</v>
      </c>
      <c r="U48" s="30" t="str">
        <f>"－"</f>
        <v>－</v>
      </c>
      <c r="V48" s="30">
        <f>73635791</f>
        <v>73635791</v>
      </c>
      <c r="W48" s="30" t="str">
        <f>"－"</f>
        <v>－</v>
      </c>
      <c r="X48" s="34">
        <f>19</f>
        <v>19</v>
      </c>
    </row>
    <row r="49" spans="1:24">
      <c r="A49" s="25" t="s">
        <v>1224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610</f>
        <v>610</v>
      </c>
      <c r="L49" s="32" t="s">
        <v>1116</v>
      </c>
      <c r="M49" s="31">
        <f>710</f>
        <v>710</v>
      </c>
      <c r="N49" s="32" t="s">
        <v>876</v>
      </c>
      <c r="O49" s="31">
        <f>593</f>
        <v>593</v>
      </c>
      <c r="P49" s="32" t="s">
        <v>1111</v>
      </c>
      <c r="Q49" s="31">
        <f>610.3</f>
        <v>610.29999999999995</v>
      </c>
      <c r="R49" s="32" t="s">
        <v>777</v>
      </c>
      <c r="S49" s="33">
        <f>649.67</f>
        <v>649.66999999999996</v>
      </c>
      <c r="T49" s="30">
        <f>230090</f>
        <v>230090</v>
      </c>
      <c r="U49" s="30" t="str">
        <f>"－"</f>
        <v>－</v>
      </c>
      <c r="V49" s="30">
        <f>150767890</f>
        <v>150767890</v>
      </c>
      <c r="W49" s="30" t="str">
        <f>"－"</f>
        <v>－</v>
      </c>
      <c r="X49" s="34">
        <f>19</f>
        <v>19</v>
      </c>
    </row>
    <row r="50" spans="1:24">
      <c r="A50" s="25" t="s">
        <v>1224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243</f>
        <v>243</v>
      </c>
      <c r="L50" s="32" t="s">
        <v>1116</v>
      </c>
      <c r="M50" s="31">
        <f>308</f>
        <v>308</v>
      </c>
      <c r="N50" s="32" t="s">
        <v>684</v>
      </c>
      <c r="O50" s="31">
        <f>242</f>
        <v>242</v>
      </c>
      <c r="P50" s="32" t="s">
        <v>1116</v>
      </c>
      <c r="Q50" s="31">
        <f>266</f>
        <v>266</v>
      </c>
      <c r="R50" s="32" t="s">
        <v>777</v>
      </c>
      <c r="S50" s="33">
        <f>267.84</f>
        <v>267.83999999999997</v>
      </c>
      <c r="T50" s="30">
        <f>373546</f>
        <v>373546</v>
      </c>
      <c r="U50" s="30" t="str">
        <f>"－"</f>
        <v>－</v>
      </c>
      <c r="V50" s="30">
        <f>102809044</f>
        <v>102809044</v>
      </c>
      <c r="W50" s="30" t="str">
        <f>"－"</f>
        <v>－</v>
      </c>
      <c r="X50" s="34">
        <f>19</f>
        <v>19</v>
      </c>
    </row>
    <row r="51" spans="1:24">
      <c r="A51" s="25" t="s">
        <v>1224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2760</f>
        <v>2760</v>
      </c>
      <c r="L51" s="32" t="s">
        <v>1116</v>
      </c>
      <c r="M51" s="31">
        <f>2807.5</f>
        <v>2807.5</v>
      </c>
      <c r="N51" s="32" t="s">
        <v>1111</v>
      </c>
      <c r="O51" s="31">
        <f>2559.5</f>
        <v>2559.5</v>
      </c>
      <c r="P51" s="32" t="s">
        <v>684</v>
      </c>
      <c r="Q51" s="31">
        <f>2707</f>
        <v>2707</v>
      </c>
      <c r="R51" s="32" t="s">
        <v>777</v>
      </c>
      <c r="S51" s="33">
        <f>2673.03</f>
        <v>2673.03</v>
      </c>
      <c r="T51" s="30">
        <f>1578620</f>
        <v>1578620</v>
      </c>
      <c r="U51" s="30">
        <f>1155600</f>
        <v>1155600</v>
      </c>
      <c r="V51" s="30">
        <f>4245955415</f>
        <v>4245955415</v>
      </c>
      <c r="W51" s="30">
        <f>3114109835</f>
        <v>3114109835</v>
      </c>
      <c r="X51" s="34">
        <f>19</f>
        <v>19</v>
      </c>
    </row>
    <row r="52" spans="1:24">
      <c r="A52" s="25" t="s">
        <v>1224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25280</f>
        <v>25280</v>
      </c>
      <c r="L52" s="32" t="s">
        <v>1116</v>
      </c>
      <c r="M52" s="31">
        <f>25540</f>
        <v>25540</v>
      </c>
      <c r="N52" s="32" t="s">
        <v>1111</v>
      </c>
      <c r="O52" s="31">
        <f>23180</f>
        <v>23180</v>
      </c>
      <c r="P52" s="32" t="s">
        <v>684</v>
      </c>
      <c r="Q52" s="31">
        <f>24610</f>
        <v>24610</v>
      </c>
      <c r="R52" s="32" t="s">
        <v>777</v>
      </c>
      <c r="S52" s="33">
        <f>24301.58</f>
        <v>24301.58</v>
      </c>
      <c r="T52" s="30">
        <f>99590</f>
        <v>99590</v>
      </c>
      <c r="U52" s="30">
        <f>91456</f>
        <v>91456</v>
      </c>
      <c r="V52" s="30">
        <f>2428777649</f>
        <v>2428777649</v>
      </c>
      <c r="W52" s="30">
        <f>2230690354</f>
        <v>2230690354</v>
      </c>
      <c r="X52" s="34">
        <f>19</f>
        <v>19</v>
      </c>
    </row>
    <row r="53" spans="1:24">
      <c r="A53" s="25" t="s">
        <v>1224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10</v>
      </c>
      <c r="K53" s="31">
        <f>279.7</f>
        <v>279.7</v>
      </c>
      <c r="L53" s="32" t="s">
        <v>1116</v>
      </c>
      <c r="M53" s="31">
        <f>283.3</f>
        <v>283.3</v>
      </c>
      <c r="N53" s="32" t="s">
        <v>1111</v>
      </c>
      <c r="O53" s="31">
        <f>256.3</f>
        <v>256.3</v>
      </c>
      <c r="P53" s="32" t="s">
        <v>684</v>
      </c>
      <c r="Q53" s="31">
        <f>274</f>
        <v>274</v>
      </c>
      <c r="R53" s="32" t="s">
        <v>777</v>
      </c>
      <c r="S53" s="33">
        <f>269.15</f>
        <v>269.14999999999998</v>
      </c>
      <c r="T53" s="30">
        <f>141373610</f>
        <v>141373610</v>
      </c>
      <c r="U53" s="30">
        <f>83763220</f>
        <v>83763220</v>
      </c>
      <c r="V53" s="30">
        <f>38095788978</f>
        <v>38095788978</v>
      </c>
      <c r="W53" s="30">
        <f>22569357690</f>
        <v>22569357690</v>
      </c>
      <c r="X53" s="34">
        <f>19</f>
        <v>19</v>
      </c>
    </row>
    <row r="54" spans="1:24">
      <c r="A54" s="25" t="s">
        <v>1224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1821</f>
        <v>1821</v>
      </c>
      <c r="L54" s="32" t="s">
        <v>1116</v>
      </c>
      <c r="M54" s="31">
        <f>1829</f>
        <v>1829</v>
      </c>
      <c r="N54" s="32" t="s">
        <v>1116</v>
      </c>
      <c r="O54" s="31">
        <f>1788</f>
        <v>1788</v>
      </c>
      <c r="P54" s="32" t="s">
        <v>777</v>
      </c>
      <c r="Q54" s="31">
        <f>1788</f>
        <v>1788</v>
      </c>
      <c r="R54" s="32" t="s">
        <v>777</v>
      </c>
      <c r="S54" s="33">
        <f>1809.74</f>
        <v>1809.74</v>
      </c>
      <c r="T54" s="30">
        <f>20271089</f>
        <v>20271089</v>
      </c>
      <c r="U54" s="30">
        <f>8929809</f>
        <v>8929809</v>
      </c>
      <c r="V54" s="30">
        <f>36776051493</f>
        <v>36776051493</v>
      </c>
      <c r="W54" s="30">
        <f>16193834967</f>
        <v>16193834967</v>
      </c>
      <c r="X54" s="34">
        <f>19</f>
        <v>19</v>
      </c>
    </row>
    <row r="55" spans="1:24">
      <c r="A55" s="25" t="s">
        <v>1224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2527</f>
        <v>2527</v>
      </c>
      <c r="L55" s="32" t="s">
        <v>1116</v>
      </c>
      <c r="M55" s="31">
        <f>2610</f>
        <v>2610</v>
      </c>
      <c r="N55" s="32" t="s">
        <v>675</v>
      </c>
      <c r="O55" s="31">
        <f>2448</f>
        <v>2448</v>
      </c>
      <c r="P55" s="32" t="s">
        <v>684</v>
      </c>
      <c r="Q55" s="31">
        <f>2536</f>
        <v>2536</v>
      </c>
      <c r="R55" s="32" t="s">
        <v>777</v>
      </c>
      <c r="S55" s="33">
        <f>2531.89</f>
        <v>2531.89</v>
      </c>
      <c r="T55" s="30">
        <f>18069</f>
        <v>18069</v>
      </c>
      <c r="U55" s="30">
        <f>2</f>
        <v>2</v>
      </c>
      <c r="V55" s="30">
        <f>45668062</f>
        <v>45668062</v>
      </c>
      <c r="W55" s="30">
        <f>4952</f>
        <v>4952</v>
      </c>
      <c r="X55" s="34">
        <f>19</f>
        <v>19</v>
      </c>
    </row>
    <row r="56" spans="1:24">
      <c r="A56" s="25" t="s">
        <v>1224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3670</f>
        <v>3670</v>
      </c>
      <c r="L56" s="32" t="s">
        <v>1116</v>
      </c>
      <c r="M56" s="31">
        <f>3800</f>
        <v>3800</v>
      </c>
      <c r="N56" s="32" t="s">
        <v>1111</v>
      </c>
      <c r="O56" s="31">
        <f>3410</f>
        <v>3410</v>
      </c>
      <c r="P56" s="32" t="s">
        <v>684</v>
      </c>
      <c r="Q56" s="31">
        <f>3575</f>
        <v>3575</v>
      </c>
      <c r="R56" s="32" t="s">
        <v>777</v>
      </c>
      <c r="S56" s="33">
        <f>3556.84</f>
        <v>3556.84</v>
      </c>
      <c r="T56" s="30">
        <f>618626</f>
        <v>618626</v>
      </c>
      <c r="U56" s="30">
        <f>182455</f>
        <v>182455</v>
      </c>
      <c r="V56" s="30">
        <f>2210819592</f>
        <v>2210819592</v>
      </c>
      <c r="W56" s="30">
        <f>651047137</f>
        <v>651047137</v>
      </c>
      <c r="X56" s="34">
        <f>19</f>
        <v>19</v>
      </c>
    </row>
    <row r="57" spans="1:24">
      <c r="A57" s="25" t="s">
        <v>1224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35860</f>
        <v>35860</v>
      </c>
      <c r="L57" s="32" t="s">
        <v>1116</v>
      </c>
      <c r="M57" s="31">
        <f>35930</f>
        <v>35930</v>
      </c>
      <c r="N57" s="32" t="s">
        <v>1145</v>
      </c>
      <c r="O57" s="31">
        <f>35860</f>
        <v>35860</v>
      </c>
      <c r="P57" s="32" t="s">
        <v>1116</v>
      </c>
      <c r="Q57" s="31">
        <f>35930</f>
        <v>35930</v>
      </c>
      <c r="R57" s="32" t="s">
        <v>1145</v>
      </c>
      <c r="S57" s="33">
        <f>35895</f>
        <v>35895</v>
      </c>
      <c r="T57" s="30">
        <f>12</f>
        <v>12</v>
      </c>
      <c r="U57" s="30" t="str">
        <f>"－"</f>
        <v>－</v>
      </c>
      <c r="V57" s="30">
        <f>431090</f>
        <v>431090</v>
      </c>
      <c r="W57" s="30" t="str">
        <f>"－"</f>
        <v>－</v>
      </c>
      <c r="X57" s="34">
        <f>2</f>
        <v>2</v>
      </c>
    </row>
    <row r="58" spans="1:24">
      <c r="A58" s="25" t="s">
        <v>1224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27500</f>
        <v>27500</v>
      </c>
      <c r="L58" s="32" t="s">
        <v>1116</v>
      </c>
      <c r="M58" s="31">
        <f>27865</f>
        <v>27865</v>
      </c>
      <c r="N58" s="32" t="s">
        <v>1111</v>
      </c>
      <c r="O58" s="31">
        <f>25565</f>
        <v>25565</v>
      </c>
      <c r="P58" s="32" t="s">
        <v>876</v>
      </c>
      <c r="Q58" s="31">
        <f>27865</f>
        <v>27865</v>
      </c>
      <c r="R58" s="32" t="s">
        <v>1111</v>
      </c>
      <c r="S58" s="33">
        <f>26826.43</f>
        <v>26826.43</v>
      </c>
      <c r="T58" s="30">
        <f>237</f>
        <v>237</v>
      </c>
      <c r="U58" s="30" t="str">
        <f>"－"</f>
        <v>－</v>
      </c>
      <c r="V58" s="30">
        <f>6378795</f>
        <v>6378795</v>
      </c>
      <c r="W58" s="30" t="str">
        <f>"－"</f>
        <v>－</v>
      </c>
      <c r="X58" s="34">
        <f>7</f>
        <v>7</v>
      </c>
    </row>
    <row r="59" spans="1:24">
      <c r="A59" s="25" t="s">
        <v>1224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2890</f>
        <v>2890</v>
      </c>
      <c r="L59" s="32" t="s">
        <v>1116</v>
      </c>
      <c r="M59" s="31">
        <f>2954</f>
        <v>2954</v>
      </c>
      <c r="N59" s="32" t="s">
        <v>675</v>
      </c>
      <c r="O59" s="31">
        <f>2698</f>
        <v>2698</v>
      </c>
      <c r="P59" s="32" t="s">
        <v>684</v>
      </c>
      <c r="Q59" s="31">
        <f>2800</f>
        <v>2800</v>
      </c>
      <c r="R59" s="32" t="s">
        <v>777</v>
      </c>
      <c r="S59" s="33">
        <f>2803.11</f>
        <v>2803.11</v>
      </c>
      <c r="T59" s="30">
        <f>2090</f>
        <v>2090</v>
      </c>
      <c r="U59" s="30" t="str">
        <f>"－"</f>
        <v>－</v>
      </c>
      <c r="V59" s="30">
        <f>5855527</f>
        <v>5855527</v>
      </c>
      <c r="W59" s="30" t="str">
        <f>"－"</f>
        <v>－</v>
      </c>
      <c r="X59" s="34">
        <f>19</f>
        <v>19</v>
      </c>
    </row>
    <row r="60" spans="1:24">
      <c r="A60" s="25" t="s">
        <v>1224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1753</f>
        <v>1753</v>
      </c>
      <c r="L60" s="32" t="s">
        <v>1116</v>
      </c>
      <c r="M60" s="31">
        <f>1791</f>
        <v>1791</v>
      </c>
      <c r="N60" s="32" t="s">
        <v>684</v>
      </c>
      <c r="O60" s="31">
        <f>1750</f>
        <v>1750</v>
      </c>
      <c r="P60" s="32" t="s">
        <v>1116</v>
      </c>
      <c r="Q60" s="31">
        <f>1770</f>
        <v>1770</v>
      </c>
      <c r="R60" s="32" t="s">
        <v>777</v>
      </c>
      <c r="S60" s="33">
        <f>1773.84</f>
        <v>1773.84</v>
      </c>
      <c r="T60" s="30">
        <f>10815694</f>
        <v>10815694</v>
      </c>
      <c r="U60" s="30">
        <f>8310387</f>
        <v>8310387</v>
      </c>
      <c r="V60" s="30">
        <f>19154068186</f>
        <v>19154068186</v>
      </c>
      <c r="W60" s="30">
        <f>14714937390</f>
        <v>14714937390</v>
      </c>
      <c r="X60" s="34">
        <f>19</f>
        <v>19</v>
      </c>
    </row>
    <row r="61" spans="1:24">
      <c r="A61" s="25" t="s">
        <v>1224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2785</f>
        <v>2785</v>
      </c>
      <c r="L61" s="32" t="s">
        <v>1116</v>
      </c>
      <c r="M61" s="31">
        <f>2850</f>
        <v>2850</v>
      </c>
      <c r="N61" s="32" t="s">
        <v>1145</v>
      </c>
      <c r="O61" s="31">
        <f>2634</f>
        <v>2634</v>
      </c>
      <c r="P61" s="32" t="s">
        <v>684</v>
      </c>
      <c r="Q61" s="31">
        <f>2797</f>
        <v>2797</v>
      </c>
      <c r="R61" s="32" t="s">
        <v>777</v>
      </c>
      <c r="S61" s="33">
        <f>2723.72</f>
        <v>2723.72</v>
      </c>
      <c r="T61" s="30">
        <f>804</f>
        <v>804</v>
      </c>
      <c r="U61" s="30" t="str">
        <f>"－"</f>
        <v>－</v>
      </c>
      <c r="V61" s="30">
        <f>2234701</f>
        <v>2234701</v>
      </c>
      <c r="W61" s="30" t="str">
        <f>"－"</f>
        <v>－</v>
      </c>
      <c r="X61" s="34">
        <f>18</f>
        <v>18</v>
      </c>
    </row>
    <row r="62" spans="1:24">
      <c r="A62" s="25" t="s">
        <v>1224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2831</f>
        <v>2831</v>
      </c>
      <c r="L62" s="32" t="s">
        <v>1116</v>
      </c>
      <c r="M62" s="31">
        <f>2952.5</f>
        <v>2952.5</v>
      </c>
      <c r="N62" s="32" t="s">
        <v>683</v>
      </c>
      <c r="O62" s="31">
        <f>2635</f>
        <v>2635</v>
      </c>
      <c r="P62" s="32" t="s">
        <v>682</v>
      </c>
      <c r="Q62" s="31">
        <f>2759.5</f>
        <v>2759.5</v>
      </c>
      <c r="R62" s="32" t="s">
        <v>777</v>
      </c>
      <c r="S62" s="33">
        <f>2752.72</f>
        <v>2752.72</v>
      </c>
      <c r="T62" s="30">
        <f>24130</f>
        <v>24130</v>
      </c>
      <c r="U62" s="30" t="str">
        <f>"－"</f>
        <v>－</v>
      </c>
      <c r="V62" s="30">
        <f>66517050</f>
        <v>66517050</v>
      </c>
      <c r="W62" s="30" t="str">
        <f>"－"</f>
        <v>－</v>
      </c>
      <c r="X62" s="34">
        <f>18</f>
        <v>18</v>
      </c>
    </row>
    <row r="63" spans="1:24">
      <c r="A63" s="25" t="s">
        <v>1224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45450</f>
        <v>45450</v>
      </c>
      <c r="L63" s="32" t="s">
        <v>1116</v>
      </c>
      <c r="M63" s="31">
        <f>52450</f>
        <v>52450</v>
      </c>
      <c r="N63" s="32" t="s">
        <v>1145</v>
      </c>
      <c r="O63" s="31">
        <f>40710</f>
        <v>40710</v>
      </c>
      <c r="P63" s="32" t="s">
        <v>1145</v>
      </c>
      <c r="Q63" s="31">
        <f>45820</f>
        <v>45820</v>
      </c>
      <c r="R63" s="32" t="s">
        <v>1124</v>
      </c>
      <c r="S63" s="33">
        <f>46790</f>
        <v>46790</v>
      </c>
      <c r="T63" s="30">
        <f>27</f>
        <v>27</v>
      </c>
      <c r="U63" s="30" t="str">
        <f>"－"</f>
        <v>－</v>
      </c>
      <c r="V63" s="30">
        <f>1260050</f>
        <v>1260050</v>
      </c>
      <c r="W63" s="30" t="str">
        <f>"－"</f>
        <v>－</v>
      </c>
      <c r="X63" s="34">
        <f>5</f>
        <v>5</v>
      </c>
    </row>
    <row r="64" spans="1:24">
      <c r="A64" s="25" t="s">
        <v>1224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23285</f>
        <v>23285</v>
      </c>
      <c r="L64" s="32" t="s">
        <v>1116</v>
      </c>
      <c r="M64" s="31">
        <f>23600</f>
        <v>23600</v>
      </c>
      <c r="N64" s="32" t="s">
        <v>1111</v>
      </c>
      <c r="O64" s="31">
        <f>22875</f>
        <v>22875</v>
      </c>
      <c r="P64" s="32" t="s">
        <v>682</v>
      </c>
      <c r="Q64" s="31">
        <f>22935</f>
        <v>22935</v>
      </c>
      <c r="R64" s="32" t="s">
        <v>777</v>
      </c>
      <c r="S64" s="33">
        <f>23161.05</f>
        <v>23161.05</v>
      </c>
      <c r="T64" s="30">
        <f>53285</f>
        <v>53285</v>
      </c>
      <c r="U64" s="30">
        <f>2000</f>
        <v>2000</v>
      </c>
      <c r="V64" s="30">
        <f>1239177225</f>
        <v>1239177225</v>
      </c>
      <c r="W64" s="30">
        <f>46353000</f>
        <v>46353000</v>
      </c>
      <c r="X64" s="34">
        <f>19</f>
        <v>19</v>
      </c>
    </row>
    <row r="65" spans="1:24">
      <c r="A65" s="25" t="s">
        <v>1224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13470</f>
        <v>13470</v>
      </c>
      <c r="L65" s="32" t="s">
        <v>1116</v>
      </c>
      <c r="M65" s="31">
        <f>13735</f>
        <v>13735</v>
      </c>
      <c r="N65" s="32" t="s">
        <v>684</v>
      </c>
      <c r="O65" s="31">
        <f>13435</f>
        <v>13435</v>
      </c>
      <c r="P65" s="32" t="s">
        <v>1116</v>
      </c>
      <c r="Q65" s="31">
        <f>13600</f>
        <v>13600</v>
      </c>
      <c r="R65" s="32" t="s">
        <v>777</v>
      </c>
      <c r="S65" s="33">
        <f>13608.42</f>
        <v>13608.42</v>
      </c>
      <c r="T65" s="30">
        <f>594014</f>
        <v>594014</v>
      </c>
      <c r="U65" s="30">
        <f>468443</f>
        <v>468443</v>
      </c>
      <c r="V65" s="30">
        <f>8051025565</f>
        <v>8051025565</v>
      </c>
      <c r="W65" s="30">
        <f>6350434435</f>
        <v>6350434435</v>
      </c>
      <c r="X65" s="34">
        <f>19</f>
        <v>19</v>
      </c>
    </row>
    <row r="66" spans="1:24">
      <c r="A66" s="25" t="s">
        <v>1224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1841</f>
        <v>1841</v>
      </c>
      <c r="L66" s="32" t="s">
        <v>1116</v>
      </c>
      <c r="M66" s="31">
        <f>1846</f>
        <v>1846</v>
      </c>
      <c r="N66" s="32" t="s">
        <v>1116</v>
      </c>
      <c r="O66" s="31">
        <f>1775</f>
        <v>1775</v>
      </c>
      <c r="P66" s="32" t="s">
        <v>777</v>
      </c>
      <c r="Q66" s="31">
        <f>1776</f>
        <v>1776</v>
      </c>
      <c r="R66" s="32" t="s">
        <v>777</v>
      </c>
      <c r="S66" s="33">
        <f>1801.32</f>
        <v>1801.32</v>
      </c>
      <c r="T66" s="30">
        <f>1217321</f>
        <v>1217321</v>
      </c>
      <c r="U66" s="30">
        <f>366110</f>
        <v>366110</v>
      </c>
      <c r="V66" s="30">
        <f>2191572746</f>
        <v>2191572746</v>
      </c>
      <c r="W66" s="30">
        <f>657114779</f>
        <v>657114779</v>
      </c>
      <c r="X66" s="34">
        <f>19</f>
        <v>19</v>
      </c>
    </row>
    <row r="67" spans="1:24">
      <c r="A67" s="25" t="s">
        <v>1224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2308</f>
        <v>2308</v>
      </c>
      <c r="L67" s="32" t="s">
        <v>1116</v>
      </c>
      <c r="M67" s="31">
        <f>2325</f>
        <v>2325</v>
      </c>
      <c r="N67" s="32" t="s">
        <v>1145</v>
      </c>
      <c r="O67" s="31">
        <f>2116</f>
        <v>2116</v>
      </c>
      <c r="P67" s="32" t="s">
        <v>684</v>
      </c>
      <c r="Q67" s="31">
        <f>2248</f>
        <v>2248</v>
      </c>
      <c r="R67" s="32" t="s">
        <v>777</v>
      </c>
      <c r="S67" s="33">
        <f>2221.32</f>
        <v>2221.3200000000002</v>
      </c>
      <c r="T67" s="30">
        <f>17626743</f>
        <v>17626743</v>
      </c>
      <c r="U67" s="30">
        <f>2545133</f>
        <v>2545133</v>
      </c>
      <c r="V67" s="30">
        <f>39215315747</f>
        <v>39215315747</v>
      </c>
      <c r="W67" s="30">
        <f>5646998930</f>
        <v>5646998930</v>
      </c>
      <c r="X67" s="34">
        <f>19</f>
        <v>19</v>
      </c>
    </row>
    <row r="68" spans="1:24">
      <c r="A68" s="25" t="s">
        <v>1224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7695</f>
        <v>7695</v>
      </c>
      <c r="L68" s="32" t="s">
        <v>876</v>
      </c>
      <c r="M68" s="31">
        <f>7695</f>
        <v>7695</v>
      </c>
      <c r="N68" s="32" t="s">
        <v>876</v>
      </c>
      <c r="O68" s="31">
        <f>7695</f>
        <v>7695</v>
      </c>
      <c r="P68" s="32" t="s">
        <v>876</v>
      </c>
      <c r="Q68" s="31">
        <f>7695</f>
        <v>7695</v>
      </c>
      <c r="R68" s="32" t="s">
        <v>876</v>
      </c>
      <c r="S68" s="33">
        <f>7695</f>
        <v>7695</v>
      </c>
      <c r="T68" s="30">
        <f>30</f>
        <v>30</v>
      </c>
      <c r="U68" s="30" t="str">
        <f>"－"</f>
        <v>－</v>
      </c>
      <c r="V68" s="30">
        <f>230850</f>
        <v>230850</v>
      </c>
      <c r="W68" s="30" t="str">
        <f>"－"</f>
        <v>－</v>
      </c>
      <c r="X68" s="34">
        <f>1</f>
        <v>1</v>
      </c>
    </row>
    <row r="69" spans="1:24">
      <c r="A69" s="25" t="s">
        <v>1224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19565</f>
        <v>19565</v>
      </c>
      <c r="L69" s="32" t="s">
        <v>1116</v>
      </c>
      <c r="M69" s="31">
        <f>20500</f>
        <v>20500</v>
      </c>
      <c r="N69" s="32" t="s">
        <v>1111</v>
      </c>
      <c r="O69" s="31">
        <f>18115</f>
        <v>18115</v>
      </c>
      <c r="P69" s="32" t="s">
        <v>876</v>
      </c>
      <c r="Q69" s="31">
        <f>19520</f>
        <v>19520</v>
      </c>
      <c r="R69" s="32" t="s">
        <v>777</v>
      </c>
      <c r="S69" s="33">
        <f>19027.37</f>
        <v>19027.37</v>
      </c>
      <c r="T69" s="30">
        <f>4005</f>
        <v>4005</v>
      </c>
      <c r="U69" s="30" t="str">
        <f>"－"</f>
        <v>－</v>
      </c>
      <c r="V69" s="30">
        <f>75423660</f>
        <v>75423660</v>
      </c>
      <c r="W69" s="30" t="str">
        <f>"－"</f>
        <v>－</v>
      </c>
      <c r="X69" s="34">
        <f>19</f>
        <v>19</v>
      </c>
    </row>
    <row r="70" spans="1:24">
      <c r="A70" s="25" t="s">
        <v>1224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30500</f>
        <v>30500</v>
      </c>
      <c r="L70" s="32" t="s">
        <v>1116</v>
      </c>
      <c r="M70" s="31">
        <f>31030</f>
        <v>31030</v>
      </c>
      <c r="N70" s="32" t="s">
        <v>1111</v>
      </c>
      <c r="O70" s="31">
        <f>29250</f>
        <v>29250</v>
      </c>
      <c r="P70" s="32" t="s">
        <v>684</v>
      </c>
      <c r="Q70" s="31">
        <f>30510</f>
        <v>30510</v>
      </c>
      <c r="R70" s="32" t="s">
        <v>777</v>
      </c>
      <c r="S70" s="33">
        <f>30110.53</f>
        <v>30110.53</v>
      </c>
      <c r="T70" s="30">
        <f>43016</f>
        <v>43016</v>
      </c>
      <c r="U70" s="30">
        <f>27130</f>
        <v>27130</v>
      </c>
      <c r="V70" s="30">
        <f>1294307443</f>
        <v>1294307443</v>
      </c>
      <c r="W70" s="30">
        <f>816003818</f>
        <v>816003818</v>
      </c>
      <c r="X70" s="34">
        <f>19</f>
        <v>19</v>
      </c>
    </row>
    <row r="71" spans="1:24">
      <c r="A71" s="25" t="s">
        <v>1224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10400</f>
        <v>10400</v>
      </c>
      <c r="L71" s="32" t="s">
        <v>1116</v>
      </c>
      <c r="M71" s="31">
        <f>12000</f>
        <v>12000</v>
      </c>
      <c r="N71" s="32" t="s">
        <v>777</v>
      </c>
      <c r="O71" s="31">
        <f>10310</f>
        <v>10310</v>
      </c>
      <c r="P71" s="32" t="s">
        <v>876</v>
      </c>
      <c r="Q71" s="31">
        <f>11170</f>
        <v>11170</v>
      </c>
      <c r="R71" s="32" t="s">
        <v>777</v>
      </c>
      <c r="S71" s="33">
        <f>10696.05</f>
        <v>10696.05</v>
      </c>
      <c r="T71" s="30">
        <f>10330</f>
        <v>10330</v>
      </c>
      <c r="U71" s="30" t="str">
        <f>"－"</f>
        <v>－</v>
      </c>
      <c r="V71" s="30">
        <f>111687800</f>
        <v>111687800</v>
      </c>
      <c r="W71" s="30" t="str">
        <f>"－"</f>
        <v>－</v>
      </c>
      <c r="X71" s="34">
        <f>19</f>
        <v>19</v>
      </c>
    </row>
    <row r="72" spans="1:24">
      <c r="A72" s="25" t="s">
        <v>1224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1870</f>
        <v>1870</v>
      </c>
      <c r="L72" s="32" t="s">
        <v>1116</v>
      </c>
      <c r="M72" s="31">
        <f>1925</f>
        <v>1925</v>
      </c>
      <c r="N72" s="32" t="s">
        <v>777</v>
      </c>
      <c r="O72" s="31">
        <f>1858</f>
        <v>1858</v>
      </c>
      <c r="P72" s="32" t="s">
        <v>1145</v>
      </c>
      <c r="Q72" s="31">
        <f>1896</f>
        <v>1896</v>
      </c>
      <c r="R72" s="32" t="s">
        <v>777</v>
      </c>
      <c r="S72" s="33">
        <f>1889.42</f>
        <v>1889.42</v>
      </c>
      <c r="T72" s="30">
        <f>1559098</f>
        <v>1559098</v>
      </c>
      <c r="U72" s="30">
        <f>895460</f>
        <v>895460</v>
      </c>
      <c r="V72" s="30">
        <f>2957340344</f>
        <v>2957340344</v>
      </c>
      <c r="W72" s="30">
        <f>1703425230</f>
        <v>1703425230</v>
      </c>
      <c r="X72" s="34">
        <f>19</f>
        <v>19</v>
      </c>
    </row>
    <row r="73" spans="1:24">
      <c r="A73" s="25" t="s">
        <v>1224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1882</f>
        <v>1882</v>
      </c>
      <c r="L73" s="32" t="s">
        <v>1116</v>
      </c>
      <c r="M73" s="31">
        <f>1908</f>
        <v>1908</v>
      </c>
      <c r="N73" s="32" t="s">
        <v>777</v>
      </c>
      <c r="O73" s="31">
        <f>1870</f>
        <v>1870</v>
      </c>
      <c r="P73" s="32" t="s">
        <v>1145</v>
      </c>
      <c r="Q73" s="31">
        <f>1902</f>
        <v>1902</v>
      </c>
      <c r="R73" s="32" t="s">
        <v>777</v>
      </c>
      <c r="S73" s="33">
        <f>1891.16</f>
        <v>1891.16</v>
      </c>
      <c r="T73" s="30">
        <f>330390</f>
        <v>330390</v>
      </c>
      <c r="U73" s="30" t="str">
        <f>"－"</f>
        <v>－</v>
      </c>
      <c r="V73" s="30">
        <f>624372652</f>
        <v>624372652</v>
      </c>
      <c r="W73" s="30" t="str">
        <f>"－"</f>
        <v>－</v>
      </c>
      <c r="X73" s="34">
        <f>19</f>
        <v>19</v>
      </c>
    </row>
    <row r="74" spans="1:24">
      <c r="A74" s="25" t="s">
        <v>1224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21605</f>
        <v>21605</v>
      </c>
      <c r="L74" s="32" t="s">
        <v>1116</v>
      </c>
      <c r="M74" s="31">
        <f>21870</f>
        <v>21870</v>
      </c>
      <c r="N74" s="32" t="s">
        <v>1111</v>
      </c>
      <c r="O74" s="31">
        <f>19740</f>
        <v>19740</v>
      </c>
      <c r="P74" s="32" t="s">
        <v>684</v>
      </c>
      <c r="Q74" s="31">
        <f>21040</f>
        <v>21040</v>
      </c>
      <c r="R74" s="32" t="s">
        <v>777</v>
      </c>
      <c r="S74" s="33">
        <f>20721.32</f>
        <v>20721.32</v>
      </c>
      <c r="T74" s="30">
        <f>19124</f>
        <v>19124</v>
      </c>
      <c r="U74" s="30">
        <f>7500</f>
        <v>7500</v>
      </c>
      <c r="V74" s="30">
        <f>394778356</f>
        <v>394778356</v>
      </c>
      <c r="W74" s="30">
        <f>151826691</f>
        <v>151826691</v>
      </c>
      <c r="X74" s="34">
        <f>19</f>
        <v>19</v>
      </c>
    </row>
    <row r="75" spans="1:24">
      <c r="A75" s="25" t="s">
        <v>1224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9376</f>
        <v>9376</v>
      </c>
      <c r="L75" s="32" t="s">
        <v>1116</v>
      </c>
      <c r="M75" s="31">
        <f>9550</f>
        <v>9550</v>
      </c>
      <c r="N75" s="32" t="s">
        <v>759</v>
      </c>
      <c r="O75" s="31">
        <f>9338</f>
        <v>9338</v>
      </c>
      <c r="P75" s="32" t="s">
        <v>1116</v>
      </c>
      <c r="Q75" s="31">
        <f>9430</f>
        <v>9430</v>
      </c>
      <c r="R75" s="32" t="s">
        <v>777</v>
      </c>
      <c r="S75" s="33">
        <f>9444.32</f>
        <v>9444.32</v>
      </c>
      <c r="T75" s="30">
        <f>2283</f>
        <v>2283</v>
      </c>
      <c r="U75" s="30" t="str">
        <f>"－"</f>
        <v>－</v>
      </c>
      <c r="V75" s="30">
        <f>21660404</f>
        <v>21660404</v>
      </c>
      <c r="W75" s="30" t="str">
        <f>"－"</f>
        <v>－</v>
      </c>
      <c r="X75" s="34">
        <f>19</f>
        <v>19</v>
      </c>
    </row>
    <row r="76" spans="1:24">
      <c r="A76" s="25" t="s">
        <v>1224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11080</f>
        <v>11080</v>
      </c>
      <c r="L76" s="32" t="s">
        <v>1116</v>
      </c>
      <c r="M76" s="31">
        <f>11800</f>
        <v>11800</v>
      </c>
      <c r="N76" s="32" t="s">
        <v>1111</v>
      </c>
      <c r="O76" s="31">
        <f>10740</f>
        <v>10740</v>
      </c>
      <c r="P76" s="32" t="s">
        <v>684</v>
      </c>
      <c r="Q76" s="31">
        <f>11405</f>
        <v>11405</v>
      </c>
      <c r="R76" s="32" t="s">
        <v>777</v>
      </c>
      <c r="S76" s="33">
        <f>11112.89</f>
        <v>11112.89</v>
      </c>
      <c r="T76" s="30">
        <f>2699661</f>
        <v>2699661</v>
      </c>
      <c r="U76" s="30">
        <f>189859</f>
        <v>189859</v>
      </c>
      <c r="V76" s="30">
        <f>30280096107</f>
        <v>30280096107</v>
      </c>
      <c r="W76" s="30">
        <f>2187606292</f>
        <v>2187606292</v>
      </c>
      <c r="X76" s="34">
        <f>19</f>
        <v>19</v>
      </c>
    </row>
    <row r="77" spans="1:24">
      <c r="A77" s="25" t="s">
        <v>1224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4075</f>
        <v>4075</v>
      </c>
      <c r="L77" s="32" t="s">
        <v>1116</v>
      </c>
      <c r="M77" s="31">
        <f>4340</f>
        <v>4340</v>
      </c>
      <c r="N77" s="32" t="s">
        <v>1111</v>
      </c>
      <c r="O77" s="31">
        <f>3930</f>
        <v>3930</v>
      </c>
      <c r="P77" s="32" t="s">
        <v>674</v>
      </c>
      <c r="Q77" s="31">
        <f>4190</f>
        <v>4190</v>
      </c>
      <c r="R77" s="32" t="s">
        <v>777</v>
      </c>
      <c r="S77" s="33">
        <f>4095.79</f>
        <v>4095.79</v>
      </c>
      <c r="T77" s="30">
        <f>325219</f>
        <v>325219</v>
      </c>
      <c r="U77" s="30" t="str">
        <f>"－"</f>
        <v>－</v>
      </c>
      <c r="V77" s="30">
        <f>1335001755</f>
        <v>1335001755</v>
      </c>
      <c r="W77" s="30" t="str">
        <f>"－"</f>
        <v>－</v>
      </c>
      <c r="X77" s="34">
        <f>19</f>
        <v>19</v>
      </c>
    </row>
    <row r="78" spans="1:24">
      <c r="A78" s="25" t="s">
        <v>1224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12530</f>
        <v>12530</v>
      </c>
      <c r="L78" s="32" t="s">
        <v>1116</v>
      </c>
      <c r="M78" s="31">
        <f>13845</f>
        <v>13845</v>
      </c>
      <c r="N78" s="32" t="s">
        <v>1111</v>
      </c>
      <c r="O78" s="31">
        <f>11640</f>
        <v>11640</v>
      </c>
      <c r="P78" s="32" t="s">
        <v>876</v>
      </c>
      <c r="Q78" s="31">
        <f>13250</f>
        <v>13250</v>
      </c>
      <c r="R78" s="32" t="s">
        <v>777</v>
      </c>
      <c r="S78" s="33">
        <f>12644.21</f>
        <v>12644.21</v>
      </c>
      <c r="T78" s="30">
        <f>214686</f>
        <v>214686</v>
      </c>
      <c r="U78" s="30">
        <f>229</f>
        <v>229</v>
      </c>
      <c r="V78" s="30">
        <f>2760578480</f>
        <v>2760578480</v>
      </c>
      <c r="W78" s="30">
        <f>2938655</f>
        <v>2938655</v>
      </c>
      <c r="X78" s="34">
        <f>19</f>
        <v>19</v>
      </c>
    </row>
    <row r="79" spans="1:24">
      <c r="A79" s="25" t="s">
        <v>1224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41420</f>
        <v>41420</v>
      </c>
      <c r="L79" s="32" t="s">
        <v>1116</v>
      </c>
      <c r="M79" s="31">
        <f>45330</f>
        <v>45330</v>
      </c>
      <c r="N79" s="32" t="s">
        <v>678</v>
      </c>
      <c r="O79" s="31">
        <f>37850</f>
        <v>37850</v>
      </c>
      <c r="P79" s="32" t="s">
        <v>876</v>
      </c>
      <c r="Q79" s="31">
        <f>42590</f>
        <v>42590</v>
      </c>
      <c r="R79" s="32" t="s">
        <v>777</v>
      </c>
      <c r="S79" s="33">
        <f>41807.37</f>
        <v>41807.370000000003</v>
      </c>
      <c r="T79" s="30">
        <f>15008</f>
        <v>15008</v>
      </c>
      <c r="U79" s="30">
        <f>33</f>
        <v>33</v>
      </c>
      <c r="V79" s="30">
        <f>632964850</f>
        <v>632964850</v>
      </c>
      <c r="W79" s="30">
        <f>1384290</f>
        <v>1384290</v>
      </c>
      <c r="X79" s="34">
        <f>19</f>
        <v>19</v>
      </c>
    </row>
    <row r="80" spans="1:24">
      <c r="A80" s="25" t="s">
        <v>1224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28875</f>
        <v>28875</v>
      </c>
      <c r="L80" s="32" t="s">
        <v>1116</v>
      </c>
      <c r="M80" s="31">
        <f>29780</f>
        <v>29780</v>
      </c>
      <c r="N80" s="32" t="s">
        <v>1111</v>
      </c>
      <c r="O80" s="31">
        <f>26495</f>
        <v>26495</v>
      </c>
      <c r="P80" s="32" t="s">
        <v>876</v>
      </c>
      <c r="Q80" s="31">
        <f>28625</f>
        <v>28625</v>
      </c>
      <c r="R80" s="32" t="s">
        <v>777</v>
      </c>
      <c r="S80" s="33">
        <f>28079.47</f>
        <v>28079.47</v>
      </c>
      <c r="T80" s="30">
        <f>867085</f>
        <v>867085</v>
      </c>
      <c r="U80" s="30">
        <f>6962</f>
        <v>6962</v>
      </c>
      <c r="V80" s="30">
        <f>24287861790</f>
        <v>24287861790</v>
      </c>
      <c r="W80" s="30">
        <f>193249685</f>
        <v>193249685</v>
      </c>
      <c r="X80" s="34">
        <f>19</f>
        <v>19</v>
      </c>
    </row>
    <row r="81" spans="1:24">
      <c r="A81" s="25" t="s">
        <v>1224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59090</f>
        <v>59090</v>
      </c>
      <c r="L81" s="32" t="s">
        <v>1116</v>
      </c>
      <c r="M81" s="31">
        <f>60140</f>
        <v>60140</v>
      </c>
      <c r="N81" s="32" t="s">
        <v>1111</v>
      </c>
      <c r="O81" s="31">
        <f>55510</f>
        <v>55510</v>
      </c>
      <c r="P81" s="32" t="s">
        <v>684</v>
      </c>
      <c r="Q81" s="31">
        <f>58330</f>
        <v>58330</v>
      </c>
      <c r="R81" s="32" t="s">
        <v>777</v>
      </c>
      <c r="S81" s="33">
        <f>57779.47</f>
        <v>57779.47</v>
      </c>
      <c r="T81" s="30">
        <f>40105</f>
        <v>40105</v>
      </c>
      <c r="U81" s="30">
        <f>1000</f>
        <v>1000</v>
      </c>
      <c r="V81" s="30">
        <f>2322315590</f>
        <v>2322315590</v>
      </c>
      <c r="W81" s="30">
        <f>59153300</f>
        <v>59153300</v>
      </c>
      <c r="X81" s="34">
        <f>19</f>
        <v>19</v>
      </c>
    </row>
    <row r="82" spans="1:24">
      <c r="A82" s="25" t="s">
        <v>1224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9003</f>
        <v>9003</v>
      </c>
      <c r="L82" s="32" t="s">
        <v>1116</v>
      </c>
      <c r="M82" s="31">
        <f>9195</f>
        <v>9195</v>
      </c>
      <c r="N82" s="32" t="s">
        <v>1111</v>
      </c>
      <c r="O82" s="31">
        <f>8392</f>
        <v>8392</v>
      </c>
      <c r="P82" s="32" t="s">
        <v>684</v>
      </c>
      <c r="Q82" s="31">
        <f>8863</f>
        <v>8863</v>
      </c>
      <c r="R82" s="32" t="s">
        <v>777</v>
      </c>
      <c r="S82" s="33">
        <f>8777.16</f>
        <v>8777.16</v>
      </c>
      <c r="T82" s="30">
        <f>933330</f>
        <v>933330</v>
      </c>
      <c r="U82" s="30">
        <f>138610</f>
        <v>138610</v>
      </c>
      <c r="V82" s="30">
        <f>8229299707</f>
        <v>8229299707</v>
      </c>
      <c r="W82" s="30">
        <f>1200280867</f>
        <v>1200280867</v>
      </c>
      <c r="X82" s="34">
        <f>19</f>
        <v>19</v>
      </c>
    </row>
    <row r="83" spans="1:24">
      <c r="A83" s="25" t="s">
        <v>1224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5553</f>
        <v>5553</v>
      </c>
      <c r="L83" s="32" t="s">
        <v>1116</v>
      </c>
      <c r="M83" s="31">
        <f>5686</f>
        <v>5686</v>
      </c>
      <c r="N83" s="32" t="s">
        <v>1111</v>
      </c>
      <c r="O83" s="31">
        <f>5195</f>
        <v>5195</v>
      </c>
      <c r="P83" s="32" t="s">
        <v>684</v>
      </c>
      <c r="Q83" s="31">
        <f>5516</f>
        <v>5516</v>
      </c>
      <c r="R83" s="32" t="s">
        <v>777</v>
      </c>
      <c r="S83" s="33">
        <f>5424.84</f>
        <v>5424.84</v>
      </c>
      <c r="T83" s="30">
        <f>106670</f>
        <v>106670</v>
      </c>
      <c r="U83" s="30">
        <f>3000</f>
        <v>3000</v>
      </c>
      <c r="V83" s="30">
        <f>580373780</f>
        <v>580373780</v>
      </c>
      <c r="W83" s="30">
        <f>16939500</f>
        <v>16939500</v>
      </c>
      <c r="X83" s="34">
        <f>19</f>
        <v>19</v>
      </c>
    </row>
    <row r="84" spans="1:24">
      <c r="A84" s="25" t="s">
        <v>1224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5132</f>
        <v>5132</v>
      </c>
      <c r="L84" s="32" t="s">
        <v>1116</v>
      </c>
      <c r="M84" s="31">
        <f>5237</f>
        <v>5237</v>
      </c>
      <c r="N84" s="32" t="s">
        <v>683</v>
      </c>
      <c r="O84" s="31">
        <f>4925</f>
        <v>4925</v>
      </c>
      <c r="P84" s="32" t="s">
        <v>876</v>
      </c>
      <c r="Q84" s="31">
        <f>5040</f>
        <v>5040</v>
      </c>
      <c r="R84" s="32" t="s">
        <v>777</v>
      </c>
      <c r="S84" s="33">
        <f>5059.11</f>
        <v>5059.1099999999997</v>
      </c>
      <c r="T84" s="30">
        <f>2030</f>
        <v>2030</v>
      </c>
      <c r="U84" s="30" t="str">
        <f>"－"</f>
        <v>－</v>
      </c>
      <c r="V84" s="30">
        <f>10356310</f>
        <v>10356310</v>
      </c>
      <c r="W84" s="30" t="str">
        <f>"－"</f>
        <v>－</v>
      </c>
      <c r="X84" s="34">
        <f>18</f>
        <v>18</v>
      </c>
    </row>
    <row r="85" spans="1:24">
      <c r="A85" s="25" t="s">
        <v>1224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4615</f>
        <v>4615</v>
      </c>
      <c r="L85" s="32" t="s">
        <v>1116</v>
      </c>
      <c r="M85" s="31">
        <f>4721</f>
        <v>4721</v>
      </c>
      <c r="N85" s="32" t="s">
        <v>1111</v>
      </c>
      <c r="O85" s="31">
        <f>4280</f>
        <v>4280</v>
      </c>
      <c r="P85" s="32" t="s">
        <v>684</v>
      </c>
      <c r="Q85" s="31">
        <f>4574</f>
        <v>4574</v>
      </c>
      <c r="R85" s="32" t="s">
        <v>777</v>
      </c>
      <c r="S85" s="33">
        <f>4491.68</f>
        <v>4491.68</v>
      </c>
      <c r="T85" s="30">
        <f>108340</f>
        <v>108340</v>
      </c>
      <c r="U85" s="30" t="str">
        <f>"－"</f>
        <v>－</v>
      </c>
      <c r="V85" s="30">
        <f>482447630</f>
        <v>482447630</v>
      </c>
      <c r="W85" s="30" t="str">
        <f>"－"</f>
        <v>－</v>
      </c>
      <c r="X85" s="34">
        <f>19</f>
        <v>19</v>
      </c>
    </row>
    <row r="86" spans="1:24">
      <c r="A86" s="25" t="s">
        <v>1224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2270.5</f>
        <v>2270.5</v>
      </c>
      <c r="L86" s="32" t="s">
        <v>1116</v>
      </c>
      <c r="M86" s="31">
        <f>2466</f>
        <v>2466</v>
      </c>
      <c r="N86" s="32" t="s">
        <v>1111</v>
      </c>
      <c r="O86" s="31">
        <f>2145</f>
        <v>2145</v>
      </c>
      <c r="P86" s="32" t="s">
        <v>876</v>
      </c>
      <c r="Q86" s="31">
        <f>2419</f>
        <v>2419</v>
      </c>
      <c r="R86" s="32" t="s">
        <v>777</v>
      </c>
      <c r="S86" s="33">
        <f>2326.76</f>
        <v>2326.7600000000002</v>
      </c>
      <c r="T86" s="30">
        <f>71570</f>
        <v>71570</v>
      </c>
      <c r="U86" s="30">
        <f>10</f>
        <v>10</v>
      </c>
      <c r="V86" s="30">
        <f>165709310</f>
        <v>165709310</v>
      </c>
      <c r="W86" s="30">
        <f>24340</f>
        <v>24340</v>
      </c>
      <c r="X86" s="34">
        <f>19</f>
        <v>19</v>
      </c>
    </row>
    <row r="87" spans="1:24">
      <c r="A87" s="25" t="s">
        <v>1224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82410</f>
        <v>82410</v>
      </c>
      <c r="L87" s="32" t="s">
        <v>1116</v>
      </c>
      <c r="M87" s="31">
        <f>83900</f>
        <v>83900</v>
      </c>
      <c r="N87" s="32" t="s">
        <v>1111</v>
      </c>
      <c r="O87" s="31">
        <f>76850</f>
        <v>76850</v>
      </c>
      <c r="P87" s="32" t="s">
        <v>684</v>
      </c>
      <c r="Q87" s="31">
        <f>80920</f>
        <v>80920</v>
      </c>
      <c r="R87" s="32" t="s">
        <v>777</v>
      </c>
      <c r="S87" s="33">
        <f>80275.26</f>
        <v>80275.259999999995</v>
      </c>
      <c r="T87" s="30">
        <f>52209</f>
        <v>52209</v>
      </c>
      <c r="U87" s="30">
        <f>4</f>
        <v>4</v>
      </c>
      <c r="V87" s="30">
        <f>4192054370</f>
        <v>4192054370</v>
      </c>
      <c r="W87" s="30">
        <f>316360</f>
        <v>316360</v>
      </c>
      <c r="X87" s="34">
        <f>19</f>
        <v>19</v>
      </c>
    </row>
    <row r="88" spans="1:24">
      <c r="A88" s="25" t="s">
        <v>1224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3230</f>
        <v>3230</v>
      </c>
      <c r="L88" s="32" t="s">
        <v>1116</v>
      </c>
      <c r="M88" s="31">
        <f>3675</f>
        <v>3675</v>
      </c>
      <c r="N88" s="32" t="s">
        <v>1111</v>
      </c>
      <c r="O88" s="31">
        <f>3175</f>
        <v>3175</v>
      </c>
      <c r="P88" s="32" t="s">
        <v>674</v>
      </c>
      <c r="Q88" s="31">
        <f>3600</f>
        <v>3600</v>
      </c>
      <c r="R88" s="32" t="s">
        <v>777</v>
      </c>
      <c r="S88" s="33">
        <f>3415.79</f>
        <v>3415.79</v>
      </c>
      <c r="T88" s="30">
        <f>16027</f>
        <v>16027</v>
      </c>
      <c r="U88" s="30" t="str">
        <f>"－"</f>
        <v>－</v>
      </c>
      <c r="V88" s="30">
        <f>54944975</f>
        <v>54944975</v>
      </c>
      <c r="W88" s="30" t="str">
        <f>"－"</f>
        <v>－</v>
      </c>
      <c r="X88" s="34">
        <f>19</f>
        <v>19</v>
      </c>
    </row>
    <row r="89" spans="1:24">
      <c r="A89" s="25" t="s">
        <v>1224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5300</f>
        <v>5300</v>
      </c>
      <c r="L89" s="32" t="s">
        <v>1116</v>
      </c>
      <c r="M89" s="31">
        <f>5510</f>
        <v>5510</v>
      </c>
      <c r="N89" s="32" t="s">
        <v>1111</v>
      </c>
      <c r="O89" s="31">
        <f>5150</f>
        <v>5150</v>
      </c>
      <c r="P89" s="32" t="s">
        <v>1145</v>
      </c>
      <c r="Q89" s="31">
        <f>5450</f>
        <v>5450</v>
      </c>
      <c r="R89" s="32" t="s">
        <v>777</v>
      </c>
      <c r="S89" s="33">
        <f>5290</f>
        <v>5290</v>
      </c>
      <c r="T89" s="30">
        <f>2893</f>
        <v>2893</v>
      </c>
      <c r="U89" s="30" t="str">
        <f>"－"</f>
        <v>－</v>
      </c>
      <c r="V89" s="30">
        <f>15365700</f>
        <v>15365700</v>
      </c>
      <c r="W89" s="30" t="str">
        <f>"－"</f>
        <v>－</v>
      </c>
      <c r="X89" s="34">
        <f>19</f>
        <v>19</v>
      </c>
    </row>
    <row r="90" spans="1:24">
      <c r="A90" s="25" t="s">
        <v>1224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2376</f>
        <v>2376</v>
      </c>
      <c r="L90" s="32" t="s">
        <v>1116</v>
      </c>
      <c r="M90" s="31">
        <f>2380</f>
        <v>2380</v>
      </c>
      <c r="N90" s="32" t="s">
        <v>1116</v>
      </c>
      <c r="O90" s="31">
        <f>2138</f>
        <v>2138</v>
      </c>
      <c r="P90" s="32" t="s">
        <v>876</v>
      </c>
      <c r="Q90" s="31">
        <f>2239</f>
        <v>2239</v>
      </c>
      <c r="R90" s="32" t="s">
        <v>777</v>
      </c>
      <c r="S90" s="33">
        <f>2258.89</f>
        <v>2258.89</v>
      </c>
      <c r="T90" s="30">
        <f>1296642</f>
        <v>1296642</v>
      </c>
      <c r="U90" s="30">
        <f>111592</f>
        <v>111592</v>
      </c>
      <c r="V90" s="30">
        <f>2930291855</f>
        <v>2930291855</v>
      </c>
      <c r="W90" s="30">
        <f>249266098</f>
        <v>249266098</v>
      </c>
      <c r="X90" s="34">
        <f>19</f>
        <v>19</v>
      </c>
    </row>
    <row r="91" spans="1:24">
      <c r="A91" s="25" t="s">
        <v>1224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48320</f>
        <v>48320</v>
      </c>
      <c r="L91" s="32" t="s">
        <v>1116</v>
      </c>
      <c r="M91" s="31">
        <f>49870</f>
        <v>49870</v>
      </c>
      <c r="N91" s="32" t="s">
        <v>1111</v>
      </c>
      <c r="O91" s="31">
        <f>46800</f>
        <v>46800</v>
      </c>
      <c r="P91" s="32" t="s">
        <v>876</v>
      </c>
      <c r="Q91" s="31">
        <f>48470</f>
        <v>48470</v>
      </c>
      <c r="R91" s="32" t="s">
        <v>777</v>
      </c>
      <c r="S91" s="33">
        <f>48065.26</f>
        <v>48065.26</v>
      </c>
      <c r="T91" s="30">
        <f>15472</f>
        <v>15472</v>
      </c>
      <c r="U91" s="30">
        <f>557</f>
        <v>557</v>
      </c>
      <c r="V91" s="30">
        <f>745265323</f>
        <v>745265323</v>
      </c>
      <c r="W91" s="30">
        <f>26806063</f>
        <v>26806063</v>
      </c>
      <c r="X91" s="34">
        <f>19</f>
        <v>19</v>
      </c>
    </row>
    <row r="92" spans="1:24">
      <c r="A92" s="25" t="s">
        <v>1224</v>
      </c>
      <c r="B92" s="25" t="s">
        <v>259</v>
      </c>
      <c r="C92" s="25" t="s">
        <v>260</v>
      </c>
      <c r="D92" s="25" t="s">
        <v>261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463.7</f>
        <v>463.7</v>
      </c>
      <c r="L92" s="32" t="s">
        <v>1116</v>
      </c>
      <c r="M92" s="31">
        <f>475</f>
        <v>475</v>
      </c>
      <c r="N92" s="32" t="s">
        <v>1111</v>
      </c>
      <c r="O92" s="31">
        <f>388.5</f>
        <v>388.5</v>
      </c>
      <c r="P92" s="32" t="s">
        <v>684</v>
      </c>
      <c r="Q92" s="31">
        <f>437.9</f>
        <v>437.9</v>
      </c>
      <c r="R92" s="32" t="s">
        <v>777</v>
      </c>
      <c r="S92" s="33">
        <f>428.23</f>
        <v>428.23</v>
      </c>
      <c r="T92" s="30">
        <f>137833390</f>
        <v>137833390</v>
      </c>
      <c r="U92" s="30">
        <f>2260</f>
        <v>2260</v>
      </c>
      <c r="V92" s="30">
        <f>58457570710</f>
        <v>58457570710</v>
      </c>
      <c r="W92" s="30">
        <f>996186</f>
        <v>996186</v>
      </c>
      <c r="X92" s="34">
        <f>19</f>
        <v>19</v>
      </c>
    </row>
    <row r="93" spans="1:24">
      <c r="A93" s="25" t="s">
        <v>1224</v>
      </c>
      <c r="B93" s="25" t="s">
        <v>262</v>
      </c>
      <c r="C93" s="25" t="s">
        <v>263</v>
      </c>
      <c r="D93" s="25" t="s">
        <v>264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1263</f>
        <v>1263</v>
      </c>
      <c r="L93" s="32" t="s">
        <v>1116</v>
      </c>
      <c r="M93" s="31">
        <f>1372</f>
        <v>1372</v>
      </c>
      <c r="N93" s="32" t="s">
        <v>684</v>
      </c>
      <c r="O93" s="31">
        <f>1240</f>
        <v>1240</v>
      </c>
      <c r="P93" s="32" t="s">
        <v>1111</v>
      </c>
      <c r="Q93" s="31">
        <f>1279.5</f>
        <v>1279.5</v>
      </c>
      <c r="R93" s="32" t="s">
        <v>777</v>
      </c>
      <c r="S93" s="33">
        <f>1309.84</f>
        <v>1309.8399999999999</v>
      </c>
      <c r="T93" s="30">
        <f>1464930</f>
        <v>1464930</v>
      </c>
      <c r="U93" s="30">
        <f>1870</f>
        <v>1870</v>
      </c>
      <c r="V93" s="30">
        <f>1921758725</f>
        <v>1921758725</v>
      </c>
      <c r="W93" s="30">
        <f>2366765</f>
        <v>2366765</v>
      </c>
      <c r="X93" s="34">
        <f>19</f>
        <v>19</v>
      </c>
    </row>
    <row r="94" spans="1:24">
      <c r="A94" s="25" t="s">
        <v>1224</v>
      </c>
      <c r="B94" s="25" t="s">
        <v>265</v>
      </c>
      <c r="C94" s="25" t="s">
        <v>266</v>
      </c>
      <c r="D94" s="25" t="s">
        <v>267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27200</f>
        <v>27200</v>
      </c>
      <c r="L94" s="32" t="s">
        <v>1116</v>
      </c>
      <c r="M94" s="31">
        <f>28380</f>
        <v>28380</v>
      </c>
      <c r="N94" s="32" t="s">
        <v>1111</v>
      </c>
      <c r="O94" s="31">
        <f>22030</f>
        <v>22030</v>
      </c>
      <c r="P94" s="32" t="s">
        <v>876</v>
      </c>
      <c r="Q94" s="31">
        <f>25730</f>
        <v>25730</v>
      </c>
      <c r="R94" s="32" t="s">
        <v>777</v>
      </c>
      <c r="S94" s="33">
        <f>24718.95</f>
        <v>24718.95</v>
      </c>
      <c r="T94" s="30">
        <f>140410737</f>
        <v>140410737</v>
      </c>
      <c r="U94" s="30">
        <f>517044</f>
        <v>517044</v>
      </c>
      <c r="V94" s="30">
        <f>3478352809895</f>
        <v>3478352809895</v>
      </c>
      <c r="W94" s="30">
        <f>12639263605</f>
        <v>12639263605</v>
      </c>
      <c r="X94" s="34">
        <f>19</f>
        <v>19</v>
      </c>
    </row>
    <row r="95" spans="1:24">
      <c r="A95" s="25" t="s">
        <v>1224</v>
      </c>
      <c r="B95" s="25" t="s">
        <v>268</v>
      </c>
      <c r="C95" s="25" t="s">
        <v>269</v>
      </c>
      <c r="D95" s="25" t="s">
        <v>270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593</f>
        <v>593</v>
      </c>
      <c r="L95" s="32" t="s">
        <v>1116</v>
      </c>
      <c r="M95" s="31">
        <f>657</f>
        <v>657</v>
      </c>
      <c r="N95" s="32" t="s">
        <v>684</v>
      </c>
      <c r="O95" s="31">
        <f>575</f>
        <v>575</v>
      </c>
      <c r="P95" s="32" t="s">
        <v>1111</v>
      </c>
      <c r="Q95" s="31">
        <f>602</f>
        <v>602</v>
      </c>
      <c r="R95" s="32" t="s">
        <v>777</v>
      </c>
      <c r="S95" s="33">
        <f>619.79</f>
        <v>619.79</v>
      </c>
      <c r="T95" s="30">
        <f>26675050</f>
        <v>26675050</v>
      </c>
      <c r="U95" s="30">
        <f>3264194</f>
        <v>3264194</v>
      </c>
      <c r="V95" s="30">
        <f>16505408905</f>
        <v>16505408905</v>
      </c>
      <c r="W95" s="30">
        <f>1953387578</f>
        <v>1953387578</v>
      </c>
      <c r="X95" s="34">
        <f>19</f>
        <v>19</v>
      </c>
    </row>
    <row r="96" spans="1:24">
      <c r="A96" s="25" t="s">
        <v>1224</v>
      </c>
      <c r="B96" s="25" t="s">
        <v>271</v>
      </c>
      <c r="C96" s="25" t="s">
        <v>272</v>
      </c>
      <c r="D96" s="25" t="s">
        <v>273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4100</f>
        <v>4100</v>
      </c>
      <c r="L96" s="32" t="s">
        <v>1116</v>
      </c>
      <c r="M96" s="31">
        <f>5882</f>
        <v>5882</v>
      </c>
      <c r="N96" s="32" t="s">
        <v>777</v>
      </c>
      <c r="O96" s="31">
        <f>3542</f>
        <v>3542</v>
      </c>
      <c r="P96" s="32" t="s">
        <v>684</v>
      </c>
      <c r="Q96" s="31">
        <f>5882</f>
        <v>5882</v>
      </c>
      <c r="R96" s="32" t="s">
        <v>777</v>
      </c>
      <c r="S96" s="33">
        <f>4184.11</f>
        <v>4184.1099999999997</v>
      </c>
      <c r="T96" s="30">
        <f>540220</f>
        <v>540220</v>
      </c>
      <c r="U96" s="30" t="str">
        <f>"－"</f>
        <v>－</v>
      </c>
      <c r="V96" s="30">
        <f>2634010710</f>
        <v>2634010710</v>
      </c>
      <c r="W96" s="30" t="str">
        <f>"－"</f>
        <v>－</v>
      </c>
      <c r="X96" s="34">
        <f>19</f>
        <v>19</v>
      </c>
    </row>
    <row r="97" spans="1:24">
      <c r="A97" s="25" t="s">
        <v>1224</v>
      </c>
      <c r="B97" s="25" t="s">
        <v>274</v>
      </c>
      <c r="C97" s="25" t="s">
        <v>275</v>
      </c>
      <c r="D97" s="25" t="s">
        <v>276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11415</f>
        <v>11415</v>
      </c>
      <c r="L97" s="32" t="s">
        <v>1116</v>
      </c>
      <c r="M97" s="31">
        <f>11765</f>
        <v>11765</v>
      </c>
      <c r="N97" s="32" t="s">
        <v>876</v>
      </c>
      <c r="O97" s="31">
        <f>9000</f>
        <v>9000</v>
      </c>
      <c r="P97" s="32" t="s">
        <v>777</v>
      </c>
      <c r="Q97" s="31">
        <f>9242</f>
        <v>9242</v>
      </c>
      <c r="R97" s="32" t="s">
        <v>777</v>
      </c>
      <c r="S97" s="33">
        <f>11077.47</f>
        <v>11077.47</v>
      </c>
      <c r="T97" s="30">
        <f>34700</f>
        <v>34700</v>
      </c>
      <c r="U97" s="30" t="str">
        <f>"－"</f>
        <v>－</v>
      </c>
      <c r="V97" s="30">
        <f>361077290</f>
        <v>361077290</v>
      </c>
      <c r="W97" s="30" t="str">
        <f>"－"</f>
        <v>－</v>
      </c>
      <c r="X97" s="34">
        <f>19</f>
        <v>19</v>
      </c>
    </row>
    <row r="98" spans="1:24">
      <c r="A98" s="25" t="s">
        <v>1224</v>
      </c>
      <c r="B98" s="25" t="s">
        <v>277</v>
      </c>
      <c r="C98" s="25" t="s">
        <v>278</v>
      </c>
      <c r="D98" s="25" t="s">
        <v>972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37580</f>
        <v>37580</v>
      </c>
      <c r="L98" s="32" t="s">
        <v>1116</v>
      </c>
      <c r="M98" s="31">
        <f>38030</f>
        <v>38030</v>
      </c>
      <c r="N98" s="32" t="s">
        <v>1111</v>
      </c>
      <c r="O98" s="31">
        <f>34700</f>
        <v>34700</v>
      </c>
      <c r="P98" s="32" t="s">
        <v>684</v>
      </c>
      <c r="Q98" s="31">
        <f>37060</f>
        <v>37060</v>
      </c>
      <c r="R98" s="32" t="s">
        <v>777</v>
      </c>
      <c r="S98" s="33">
        <f>36473.16</f>
        <v>36473.160000000003</v>
      </c>
      <c r="T98" s="30">
        <f>166301</f>
        <v>166301</v>
      </c>
      <c r="U98" s="30">
        <f>90728</f>
        <v>90728</v>
      </c>
      <c r="V98" s="30">
        <f>6057190578</f>
        <v>6057190578</v>
      </c>
      <c r="W98" s="30">
        <f>3292403518</f>
        <v>3292403518</v>
      </c>
      <c r="X98" s="34">
        <f>19</f>
        <v>19</v>
      </c>
    </row>
    <row r="99" spans="1:24">
      <c r="A99" s="25" t="s">
        <v>1224</v>
      </c>
      <c r="B99" s="25" t="s">
        <v>279</v>
      </c>
      <c r="C99" s="25" t="s">
        <v>280</v>
      </c>
      <c r="D99" s="25" t="s">
        <v>281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3125</f>
        <v>3125</v>
      </c>
      <c r="L99" s="32" t="s">
        <v>1116</v>
      </c>
      <c r="M99" s="31">
        <f>3190</f>
        <v>3190</v>
      </c>
      <c r="N99" s="32" t="s">
        <v>1111</v>
      </c>
      <c r="O99" s="31">
        <f>2810</f>
        <v>2810</v>
      </c>
      <c r="P99" s="32" t="s">
        <v>876</v>
      </c>
      <c r="Q99" s="31">
        <f>3040</f>
        <v>3040</v>
      </c>
      <c r="R99" s="32" t="s">
        <v>777</v>
      </c>
      <c r="S99" s="33">
        <f>2974.26</f>
        <v>2974.26</v>
      </c>
      <c r="T99" s="30">
        <f>176098</f>
        <v>176098</v>
      </c>
      <c r="U99" s="30">
        <f>445</f>
        <v>445</v>
      </c>
      <c r="V99" s="30">
        <f>525339256</f>
        <v>525339256</v>
      </c>
      <c r="W99" s="30">
        <f>1302738</f>
        <v>1302738</v>
      </c>
      <c r="X99" s="34">
        <f>19</f>
        <v>19</v>
      </c>
    </row>
    <row r="100" spans="1:24">
      <c r="A100" s="25" t="s">
        <v>1224</v>
      </c>
      <c r="B100" s="25" t="s">
        <v>282</v>
      </c>
      <c r="C100" s="25" t="s">
        <v>283</v>
      </c>
      <c r="D100" s="25" t="s">
        <v>284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292.4</f>
        <v>292.39999999999998</v>
      </c>
      <c r="L100" s="32" t="s">
        <v>1116</v>
      </c>
      <c r="M100" s="31">
        <f>305.1</f>
        <v>305.10000000000002</v>
      </c>
      <c r="N100" s="32" t="s">
        <v>1111</v>
      </c>
      <c r="O100" s="31">
        <f>236.6</f>
        <v>236.6</v>
      </c>
      <c r="P100" s="32" t="s">
        <v>876</v>
      </c>
      <c r="Q100" s="31">
        <f>274.3</f>
        <v>274.3</v>
      </c>
      <c r="R100" s="32" t="s">
        <v>777</v>
      </c>
      <c r="S100" s="33">
        <f>265.39</f>
        <v>265.39</v>
      </c>
      <c r="T100" s="30">
        <f>654295470</f>
        <v>654295470</v>
      </c>
      <c r="U100" s="30">
        <f>1446480</f>
        <v>1446480</v>
      </c>
      <c r="V100" s="30">
        <f>174559626075</f>
        <v>174559626075</v>
      </c>
      <c r="W100" s="30">
        <f>385028918</f>
        <v>385028918</v>
      </c>
      <c r="X100" s="34">
        <f>19</f>
        <v>19</v>
      </c>
    </row>
    <row r="101" spans="1:24">
      <c r="A101" s="25" t="s">
        <v>1224</v>
      </c>
      <c r="B101" s="25" t="s">
        <v>285</v>
      </c>
      <c r="C101" s="25" t="s">
        <v>286</v>
      </c>
      <c r="D101" s="25" t="s">
        <v>287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1575</f>
        <v>1575</v>
      </c>
      <c r="L101" s="32" t="s">
        <v>1116</v>
      </c>
      <c r="M101" s="31">
        <f>1742</f>
        <v>1742</v>
      </c>
      <c r="N101" s="32" t="s">
        <v>876</v>
      </c>
      <c r="O101" s="31">
        <f>1528</f>
        <v>1528</v>
      </c>
      <c r="P101" s="32" t="s">
        <v>1111</v>
      </c>
      <c r="Q101" s="31">
        <f>1602</f>
        <v>1602</v>
      </c>
      <c r="R101" s="32" t="s">
        <v>777</v>
      </c>
      <c r="S101" s="33">
        <f>1646.71</f>
        <v>1646.71</v>
      </c>
      <c r="T101" s="30">
        <f>8289080</f>
        <v>8289080</v>
      </c>
      <c r="U101" s="30">
        <f>262810</f>
        <v>262810</v>
      </c>
      <c r="V101" s="30">
        <f>13739103341</f>
        <v>13739103341</v>
      </c>
      <c r="W101" s="30">
        <f>433095416</f>
        <v>433095416</v>
      </c>
      <c r="X101" s="34">
        <f>19</f>
        <v>19</v>
      </c>
    </row>
    <row r="102" spans="1:24">
      <c r="A102" s="25" t="s">
        <v>1224</v>
      </c>
      <c r="B102" s="25" t="s">
        <v>288</v>
      </c>
      <c r="C102" s="25" t="s">
        <v>922</v>
      </c>
      <c r="D102" s="25" t="s">
        <v>923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1858</f>
        <v>1858</v>
      </c>
      <c r="L102" s="32" t="s">
        <v>1116</v>
      </c>
      <c r="M102" s="31">
        <f>1910</f>
        <v>1910</v>
      </c>
      <c r="N102" s="32" t="s">
        <v>1111</v>
      </c>
      <c r="O102" s="31">
        <f>1666.5</f>
        <v>1666.5</v>
      </c>
      <c r="P102" s="32" t="s">
        <v>876</v>
      </c>
      <c r="Q102" s="31">
        <f>1841.5</f>
        <v>1841.5</v>
      </c>
      <c r="R102" s="32" t="s">
        <v>777</v>
      </c>
      <c r="S102" s="33">
        <f>1809.47</f>
        <v>1809.47</v>
      </c>
      <c r="T102" s="30">
        <f>16780</f>
        <v>16780</v>
      </c>
      <c r="U102" s="30">
        <f>40</f>
        <v>40</v>
      </c>
      <c r="V102" s="30">
        <f>30173655</f>
        <v>30173655</v>
      </c>
      <c r="W102" s="30">
        <f>75320</f>
        <v>75320</v>
      </c>
      <c r="X102" s="34">
        <f>19</f>
        <v>19</v>
      </c>
    </row>
    <row r="103" spans="1:24">
      <c r="A103" s="25" t="s">
        <v>1224</v>
      </c>
      <c r="B103" s="25" t="s">
        <v>289</v>
      </c>
      <c r="C103" s="25" t="s">
        <v>290</v>
      </c>
      <c r="D103" s="25" t="s">
        <v>291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2180</f>
        <v>2180</v>
      </c>
      <c r="L103" s="32" t="s">
        <v>1116</v>
      </c>
      <c r="M103" s="31">
        <f>2223</f>
        <v>2223</v>
      </c>
      <c r="N103" s="32" t="s">
        <v>1111</v>
      </c>
      <c r="O103" s="31">
        <f>2009</f>
        <v>2009</v>
      </c>
      <c r="P103" s="32" t="s">
        <v>684</v>
      </c>
      <c r="Q103" s="31">
        <f>2142</f>
        <v>2142</v>
      </c>
      <c r="R103" s="32" t="s">
        <v>777</v>
      </c>
      <c r="S103" s="33">
        <f>2107.63</f>
        <v>2107.63</v>
      </c>
      <c r="T103" s="30">
        <f>8092</f>
        <v>8092</v>
      </c>
      <c r="U103" s="30">
        <f>4</f>
        <v>4</v>
      </c>
      <c r="V103" s="30">
        <f>16990294</f>
        <v>16990294</v>
      </c>
      <c r="W103" s="30">
        <f>8469</f>
        <v>8469</v>
      </c>
      <c r="X103" s="34">
        <f>19</f>
        <v>19</v>
      </c>
    </row>
    <row r="104" spans="1:24">
      <c r="A104" s="25" t="s">
        <v>1224</v>
      </c>
      <c r="B104" s="25" t="s">
        <v>292</v>
      </c>
      <c r="C104" s="25" t="s">
        <v>293</v>
      </c>
      <c r="D104" s="25" t="s">
        <v>294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25170</f>
        <v>25170</v>
      </c>
      <c r="L104" s="32" t="s">
        <v>1116</v>
      </c>
      <c r="M104" s="31">
        <f>25450</f>
        <v>25450</v>
      </c>
      <c r="N104" s="32" t="s">
        <v>1111</v>
      </c>
      <c r="O104" s="31">
        <f>23000</f>
        <v>23000</v>
      </c>
      <c r="P104" s="32" t="s">
        <v>876</v>
      </c>
      <c r="Q104" s="31">
        <f>24545</f>
        <v>24545</v>
      </c>
      <c r="R104" s="32" t="s">
        <v>777</v>
      </c>
      <c r="S104" s="33">
        <f>24148.68</f>
        <v>24148.68</v>
      </c>
      <c r="T104" s="30">
        <f>61159</f>
        <v>61159</v>
      </c>
      <c r="U104" s="30">
        <f>33334</f>
        <v>33334</v>
      </c>
      <c r="V104" s="30">
        <f>1485338980</f>
        <v>1485338980</v>
      </c>
      <c r="W104" s="30">
        <f>811334670</f>
        <v>811334670</v>
      </c>
      <c r="X104" s="34">
        <f>19</f>
        <v>19</v>
      </c>
    </row>
    <row r="105" spans="1:24">
      <c r="A105" s="25" t="s">
        <v>1224</v>
      </c>
      <c r="B105" s="25" t="s">
        <v>295</v>
      </c>
      <c r="C105" s="25" t="s">
        <v>296</v>
      </c>
      <c r="D105" s="25" t="s">
        <v>297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2297</f>
        <v>2297</v>
      </c>
      <c r="L105" s="32" t="s">
        <v>1116</v>
      </c>
      <c r="M105" s="31">
        <f>2323</f>
        <v>2323</v>
      </c>
      <c r="N105" s="32" t="s">
        <v>1111</v>
      </c>
      <c r="O105" s="31">
        <f>2108</f>
        <v>2108</v>
      </c>
      <c r="P105" s="32" t="s">
        <v>684</v>
      </c>
      <c r="Q105" s="31">
        <f>2241</f>
        <v>2241</v>
      </c>
      <c r="R105" s="32" t="s">
        <v>777</v>
      </c>
      <c r="S105" s="33">
        <f>2209.58</f>
        <v>2209.58</v>
      </c>
      <c r="T105" s="30">
        <f>78085</f>
        <v>78085</v>
      </c>
      <c r="U105" s="30" t="str">
        <f>"－"</f>
        <v>－</v>
      </c>
      <c r="V105" s="30">
        <f>172533904</f>
        <v>172533904</v>
      </c>
      <c r="W105" s="30" t="str">
        <f>"－"</f>
        <v>－</v>
      </c>
      <c r="X105" s="34">
        <f>19</f>
        <v>19</v>
      </c>
    </row>
    <row r="106" spans="1:24">
      <c r="A106" s="25" t="s">
        <v>1224</v>
      </c>
      <c r="B106" s="25" t="s">
        <v>298</v>
      </c>
      <c r="C106" s="25" t="s">
        <v>299</v>
      </c>
      <c r="D106" s="25" t="s">
        <v>300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25700</f>
        <v>25700</v>
      </c>
      <c r="L106" s="32" t="s">
        <v>1116</v>
      </c>
      <c r="M106" s="31">
        <f>25980</f>
        <v>25980</v>
      </c>
      <c r="N106" s="32" t="s">
        <v>1111</v>
      </c>
      <c r="O106" s="31">
        <f>23575</f>
        <v>23575</v>
      </c>
      <c r="P106" s="32" t="s">
        <v>684</v>
      </c>
      <c r="Q106" s="31">
        <f>25070</f>
        <v>25070</v>
      </c>
      <c r="R106" s="32" t="s">
        <v>777</v>
      </c>
      <c r="S106" s="33">
        <f>24755.53</f>
        <v>24755.53</v>
      </c>
      <c r="T106" s="30">
        <f>12053</f>
        <v>12053</v>
      </c>
      <c r="U106" s="30">
        <f>3430</f>
        <v>3430</v>
      </c>
      <c r="V106" s="30">
        <f>299967838</f>
        <v>299967838</v>
      </c>
      <c r="W106" s="30">
        <f>85395338</f>
        <v>85395338</v>
      </c>
      <c r="X106" s="34">
        <f>19</f>
        <v>19</v>
      </c>
    </row>
    <row r="107" spans="1:24">
      <c r="A107" s="25" t="s">
        <v>1224</v>
      </c>
      <c r="B107" s="25" t="s">
        <v>301</v>
      </c>
      <c r="C107" s="25" t="s">
        <v>302</v>
      </c>
      <c r="D107" s="25" t="s">
        <v>303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1807.5</f>
        <v>1807.5</v>
      </c>
      <c r="L107" s="32" t="s">
        <v>1116</v>
      </c>
      <c r="M107" s="31">
        <f>1814</f>
        <v>1814</v>
      </c>
      <c r="N107" s="32" t="s">
        <v>759</v>
      </c>
      <c r="O107" s="31">
        <f>1774</f>
        <v>1774</v>
      </c>
      <c r="P107" s="32" t="s">
        <v>777</v>
      </c>
      <c r="Q107" s="31">
        <f>1776.5</f>
        <v>1776.5</v>
      </c>
      <c r="R107" s="32" t="s">
        <v>777</v>
      </c>
      <c r="S107" s="33">
        <f>1797.32</f>
        <v>1797.32</v>
      </c>
      <c r="T107" s="30">
        <f>1795500</f>
        <v>1795500</v>
      </c>
      <c r="U107" s="30">
        <f>1087380</f>
        <v>1087380</v>
      </c>
      <c r="V107" s="30">
        <f>3214204516</f>
        <v>3214204516</v>
      </c>
      <c r="W107" s="30">
        <f>1944167946</f>
        <v>1944167946</v>
      </c>
      <c r="X107" s="34">
        <f>19</f>
        <v>19</v>
      </c>
    </row>
    <row r="108" spans="1:24">
      <c r="A108" s="25" t="s">
        <v>1224</v>
      </c>
      <c r="B108" s="25" t="s">
        <v>304</v>
      </c>
      <c r="C108" s="25" t="s">
        <v>305</v>
      </c>
      <c r="D108" s="25" t="s">
        <v>306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2364.5</f>
        <v>2364.5</v>
      </c>
      <c r="L108" s="32" t="s">
        <v>682</v>
      </c>
      <c r="M108" s="31">
        <f>2364.5</f>
        <v>2364.5</v>
      </c>
      <c r="N108" s="32" t="s">
        <v>682</v>
      </c>
      <c r="O108" s="31">
        <f>2102</f>
        <v>2102</v>
      </c>
      <c r="P108" s="32" t="s">
        <v>678</v>
      </c>
      <c r="Q108" s="31">
        <f>2102</f>
        <v>2102</v>
      </c>
      <c r="R108" s="32" t="s">
        <v>678</v>
      </c>
      <c r="S108" s="33">
        <f>2125.25</f>
        <v>2125.25</v>
      </c>
      <c r="T108" s="30">
        <f>80</f>
        <v>80</v>
      </c>
      <c r="U108" s="30" t="str">
        <f>"－"</f>
        <v>－</v>
      </c>
      <c r="V108" s="30">
        <f>176500</f>
        <v>176500</v>
      </c>
      <c r="W108" s="30" t="str">
        <f>"－"</f>
        <v>－</v>
      </c>
      <c r="X108" s="34">
        <f>2</f>
        <v>2</v>
      </c>
    </row>
    <row r="109" spans="1:24">
      <c r="A109" s="25" t="s">
        <v>1224</v>
      </c>
      <c r="B109" s="25" t="s">
        <v>307</v>
      </c>
      <c r="C109" s="25" t="s">
        <v>308</v>
      </c>
      <c r="D109" s="25" t="s">
        <v>309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1830</f>
        <v>1830</v>
      </c>
      <c r="L109" s="32" t="s">
        <v>1116</v>
      </c>
      <c r="M109" s="31">
        <f>1835</f>
        <v>1835</v>
      </c>
      <c r="N109" s="32" t="s">
        <v>1116</v>
      </c>
      <c r="O109" s="31">
        <f>1766.5</f>
        <v>1766.5</v>
      </c>
      <c r="P109" s="32" t="s">
        <v>777</v>
      </c>
      <c r="Q109" s="31">
        <f>1769.5</f>
        <v>1769.5</v>
      </c>
      <c r="R109" s="32" t="s">
        <v>777</v>
      </c>
      <c r="S109" s="33">
        <f>1795.11</f>
        <v>1795.11</v>
      </c>
      <c r="T109" s="30">
        <f>2836500</f>
        <v>2836500</v>
      </c>
      <c r="U109" s="30">
        <f>1949560</f>
        <v>1949560</v>
      </c>
      <c r="V109" s="30">
        <f>5087346110</f>
        <v>5087346110</v>
      </c>
      <c r="W109" s="30">
        <f>3496858535</f>
        <v>3496858535</v>
      </c>
      <c r="X109" s="34">
        <f>19</f>
        <v>19</v>
      </c>
    </row>
    <row r="110" spans="1:24">
      <c r="A110" s="25" t="s">
        <v>1224</v>
      </c>
      <c r="B110" s="25" t="s">
        <v>310</v>
      </c>
      <c r="C110" s="25" t="s">
        <v>924</v>
      </c>
      <c r="D110" s="25" t="s">
        <v>925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</v>
      </c>
      <c r="K110" s="31">
        <f>25500</f>
        <v>25500</v>
      </c>
      <c r="L110" s="32" t="s">
        <v>1116</v>
      </c>
      <c r="M110" s="31">
        <f>25695</f>
        <v>25695</v>
      </c>
      <c r="N110" s="32" t="s">
        <v>1111</v>
      </c>
      <c r="O110" s="31">
        <f>23400</f>
        <v>23400</v>
      </c>
      <c r="P110" s="32" t="s">
        <v>876</v>
      </c>
      <c r="Q110" s="31">
        <f>24800</f>
        <v>24800</v>
      </c>
      <c r="R110" s="32" t="s">
        <v>777</v>
      </c>
      <c r="S110" s="33">
        <f>24417.22</f>
        <v>24417.22</v>
      </c>
      <c r="T110" s="30">
        <f>10919</f>
        <v>10919</v>
      </c>
      <c r="U110" s="30" t="str">
        <f>"－"</f>
        <v>－</v>
      </c>
      <c r="V110" s="30">
        <f>272704390</f>
        <v>272704390</v>
      </c>
      <c r="W110" s="30" t="str">
        <f>"－"</f>
        <v>－</v>
      </c>
      <c r="X110" s="34">
        <f>18</f>
        <v>18</v>
      </c>
    </row>
    <row r="111" spans="1:24">
      <c r="A111" s="25" t="s">
        <v>1224</v>
      </c>
      <c r="B111" s="25" t="s">
        <v>1143</v>
      </c>
      <c r="C111" s="25" t="s">
        <v>1142</v>
      </c>
      <c r="D111" s="25" t="s">
        <v>1141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529.3</f>
        <v>529.29999999999995</v>
      </c>
      <c r="L111" s="32" t="s">
        <v>1116</v>
      </c>
      <c r="M111" s="31">
        <f>541.1</f>
        <v>541.1</v>
      </c>
      <c r="N111" s="32" t="s">
        <v>1111</v>
      </c>
      <c r="O111" s="31">
        <f>484</f>
        <v>484</v>
      </c>
      <c r="P111" s="32" t="s">
        <v>678</v>
      </c>
      <c r="Q111" s="31">
        <f>520</f>
        <v>520</v>
      </c>
      <c r="R111" s="32" t="s">
        <v>777</v>
      </c>
      <c r="S111" s="33">
        <f>512.19</f>
        <v>512.19000000000005</v>
      </c>
      <c r="T111" s="30">
        <f>2960700</f>
        <v>2960700</v>
      </c>
      <c r="U111" s="30">
        <f>1922970</f>
        <v>1922970</v>
      </c>
      <c r="V111" s="30">
        <f>1506708604</f>
        <v>1506708604</v>
      </c>
      <c r="W111" s="30">
        <f>976080107</f>
        <v>976080107</v>
      </c>
      <c r="X111" s="34">
        <f>19</f>
        <v>19</v>
      </c>
    </row>
    <row r="112" spans="1:24">
      <c r="A112" s="25" t="s">
        <v>1224</v>
      </c>
      <c r="B112" s="25" t="s">
        <v>311</v>
      </c>
      <c r="C112" s="25" t="s">
        <v>312</v>
      </c>
      <c r="D112" s="25" t="s">
        <v>313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100</v>
      </c>
      <c r="K112" s="31">
        <f>326.4</f>
        <v>326.39999999999998</v>
      </c>
      <c r="L112" s="32" t="s">
        <v>1116</v>
      </c>
      <c r="M112" s="31">
        <f>335.6</f>
        <v>335.6</v>
      </c>
      <c r="N112" s="32" t="s">
        <v>1145</v>
      </c>
      <c r="O112" s="31">
        <f>293.4</f>
        <v>293.39999999999998</v>
      </c>
      <c r="P112" s="32" t="s">
        <v>682</v>
      </c>
      <c r="Q112" s="31">
        <f>310.9</f>
        <v>310.89999999999998</v>
      </c>
      <c r="R112" s="32" t="s">
        <v>777</v>
      </c>
      <c r="S112" s="33">
        <f>310.72</f>
        <v>310.72000000000003</v>
      </c>
      <c r="T112" s="30">
        <f>115771300</f>
        <v>115771300</v>
      </c>
      <c r="U112" s="30">
        <f>11399000</f>
        <v>11399000</v>
      </c>
      <c r="V112" s="30">
        <f>35922699835</f>
        <v>35922699835</v>
      </c>
      <c r="W112" s="30">
        <f>3482217435</f>
        <v>3482217435</v>
      </c>
      <c r="X112" s="34">
        <f>19</f>
        <v>19</v>
      </c>
    </row>
    <row r="113" spans="1:24">
      <c r="A113" s="25" t="s">
        <v>1224</v>
      </c>
      <c r="B113" s="25" t="s">
        <v>314</v>
      </c>
      <c r="C113" s="25" t="s">
        <v>315</v>
      </c>
      <c r="D113" s="25" t="s">
        <v>316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37600</f>
        <v>37600</v>
      </c>
      <c r="L113" s="32" t="s">
        <v>1116</v>
      </c>
      <c r="M113" s="31">
        <f>39000</f>
        <v>39000</v>
      </c>
      <c r="N113" s="32" t="s">
        <v>1111</v>
      </c>
      <c r="O113" s="31">
        <f>36870</f>
        <v>36870</v>
      </c>
      <c r="P113" s="32" t="s">
        <v>682</v>
      </c>
      <c r="Q113" s="31">
        <f>38040</f>
        <v>38040</v>
      </c>
      <c r="R113" s="32" t="s">
        <v>777</v>
      </c>
      <c r="S113" s="33">
        <f>37592.63</f>
        <v>37592.629999999997</v>
      </c>
      <c r="T113" s="30">
        <f>12961</f>
        <v>12961</v>
      </c>
      <c r="U113" s="30">
        <f>4212</f>
        <v>4212</v>
      </c>
      <c r="V113" s="30">
        <f>487588830</f>
        <v>487588830</v>
      </c>
      <c r="W113" s="30">
        <f>157121980</f>
        <v>157121980</v>
      </c>
      <c r="X113" s="34">
        <f>19</f>
        <v>19</v>
      </c>
    </row>
    <row r="114" spans="1:24">
      <c r="A114" s="25" t="s">
        <v>1224</v>
      </c>
      <c r="B114" s="25" t="s">
        <v>317</v>
      </c>
      <c r="C114" s="25" t="s">
        <v>318</v>
      </c>
      <c r="D114" s="25" t="s">
        <v>319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22000</f>
        <v>22000</v>
      </c>
      <c r="L114" s="32" t="s">
        <v>1116</v>
      </c>
      <c r="M114" s="31">
        <f>22000</f>
        <v>22000</v>
      </c>
      <c r="N114" s="32" t="s">
        <v>1116</v>
      </c>
      <c r="O114" s="31">
        <f>19295</f>
        <v>19295</v>
      </c>
      <c r="P114" s="32" t="s">
        <v>684</v>
      </c>
      <c r="Q114" s="31">
        <f>20880</f>
        <v>20880</v>
      </c>
      <c r="R114" s="32" t="s">
        <v>777</v>
      </c>
      <c r="S114" s="33">
        <f>20614.47</f>
        <v>20614.47</v>
      </c>
      <c r="T114" s="30">
        <f>19620</f>
        <v>19620</v>
      </c>
      <c r="U114" s="30">
        <f>5015</f>
        <v>5015</v>
      </c>
      <c r="V114" s="30">
        <f>399110506</f>
        <v>399110506</v>
      </c>
      <c r="W114" s="30">
        <f>99331201</f>
        <v>99331201</v>
      </c>
      <c r="X114" s="34">
        <f>19</f>
        <v>19</v>
      </c>
    </row>
    <row r="115" spans="1:24">
      <c r="A115" s="25" t="s">
        <v>1224</v>
      </c>
      <c r="B115" s="25" t="s">
        <v>320</v>
      </c>
      <c r="C115" s="25" t="s">
        <v>321</v>
      </c>
      <c r="D115" s="25" t="s">
        <v>322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30100</f>
        <v>30100</v>
      </c>
      <c r="L115" s="32" t="s">
        <v>1116</v>
      </c>
      <c r="M115" s="31">
        <f>31390</f>
        <v>31390</v>
      </c>
      <c r="N115" s="32" t="s">
        <v>1111</v>
      </c>
      <c r="O115" s="31">
        <f>28850</f>
        <v>28850</v>
      </c>
      <c r="P115" s="32" t="s">
        <v>876</v>
      </c>
      <c r="Q115" s="31">
        <f>30660</f>
        <v>30660</v>
      </c>
      <c r="R115" s="32" t="s">
        <v>777</v>
      </c>
      <c r="S115" s="33">
        <f>29928.95</f>
        <v>29928.95</v>
      </c>
      <c r="T115" s="30">
        <f>8461</f>
        <v>8461</v>
      </c>
      <c r="U115" s="30">
        <f>3401</f>
        <v>3401</v>
      </c>
      <c r="V115" s="30">
        <f>252349578</f>
        <v>252349578</v>
      </c>
      <c r="W115" s="30">
        <f>100060928</f>
        <v>100060928</v>
      </c>
      <c r="X115" s="34">
        <f>19</f>
        <v>19</v>
      </c>
    </row>
    <row r="116" spans="1:24">
      <c r="A116" s="25" t="s">
        <v>1224</v>
      </c>
      <c r="B116" s="25" t="s">
        <v>323</v>
      </c>
      <c r="C116" s="25" t="s">
        <v>324</v>
      </c>
      <c r="D116" s="25" t="s">
        <v>325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31200</f>
        <v>31200</v>
      </c>
      <c r="L116" s="32" t="s">
        <v>1116</v>
      </c>
      <c r="M116" s="31">
        <f>32400</f>
        <v>32400</v>
      </c>
      <c r="N116" s="32" t="s">
        <v>1111</v>
      </c>
      <c r="O116" s="31">
        <f>28920</f>
        <v>28920</v>
      </c>
      <c r="P116" s="32" t="s">
        <v>684</v>
      </c>
      <c r="Q116" s="31">
        <f>31300</f>
        <v>31300</v>
      </c>
      <c r="R116" s="32" t="s">
        <v>777</v>
      </c>
      <c r="S116" s="33">
        <f>30365.79</f>
        <v>30365.79</v>
      </c>
      <c r="T116" s="30">
        <f>11664</f>
        <v>11664</v>
      </c>
      <c r="U116" s="30">
        <f>3400</f>
        <v>3400</v>
      </c>
      <c r="V116" s="30">
        <f>352619696</f>
        <v>352619696</v>
      </c>
      <c r="W116" s="30">
        <f>101211166</f>
        <v>101211166</v>
      </c>
      <c r="X116" s="34">
        <f>19</f>
        <v>19</v>
      </c>
    </row>
    <row r="117" spans="1:24">
      <c r="A117" s="25" t="s">
        <v>1224</v>
      </c>
      <c r="B117" s="25" t="s">
        <v>326</v>
      </c>
      <c r="C117" s="25" t="s">
        <v>327</v>
      </c>
      <c r="D117" s="25" t="s">
        <v>328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31540</f>
        <v>31540</v>
      </c>
      <c r="L117" s="32" t="s">
        <v>1116</v>
      </c>
      <c r="M117" s="31">
        <f>31540</f>
        <v>31540</v>
      </c>
      <c r="N117" s="32" t="s">
        <v>1116</v>
      </c>
      <c r="O117" s="31">
        <f>27980</f>
        <v>27980</v>
      </c>
      <c r="P117" s="32" t="s">
        <v>777</v>
      </c>
      <c r="Q117" s="31">
        <f>28600</f>
        <v>28600</v>
      </c>
      <c r="R117" s="32" t="s">
        <v>777</v>
      </c>
      <c r="S117" s="33">
        <f>29315.79</f>
        <v>29315.79</v>
      </c>
      <c r="T117" s="30">
        <f>30321</f>
        <v>30321</v>
      </c>
      <c r="U117" s="30">
        <f>116</f>
        <v>116</v>
      </c>
      <c r="V117" s="30">
        <f>879841042</f>
        <v>879841042</v>
      </c>
      <c r="W117" s="30">
        <f>3443152</f>
        <v>3443152</v>
      </c>
      <c r="X117" s="34">
        <f>19</f>
        <v>19</v>
      </c>
    </row>
    <row r="118" spans="1:24">
      <c r="A118" s="25" t="s">
        <v>1224</v>
      </c>
      <c r="B118" s="25" t="s">
        <v>329</v>
      </c>
      <c r="C118" s="25" t="s">
        <v>330</v>
      </c>
      <c r="D118" s="25" t="s">
        <v>331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30540</f>
        <v>30540</v>
      </c>
      <c r="L118" s="32" t="s">
        <v>1116</v>
      </c>
      <c r="M118" s="31">
        <f>31100</f>
        <v>31100</v>
      </c>
      <c r="N118" s="32" t="s">
        <v>1111</v>
      </c>
      <c r="O118" s="31">
        <f>26670</f>
        <v>26670</v>
      </c>
      <c r="P118" s="32" t="s">
        <v>682</v>
      </c>
      <c r="Q118" s="31">
        <f>28715</f>
        <v>28715</v>
      </c>
      <c r="R118" s="32" t="s">
        <v>777</v>
      </c>
      <c r="S118" s="33">
        <f>28692.89</f>
        <v>28692.89</v>
      </c>
      <c r="T118" s="30">
        <f>20673</f>
        <v>20673</v>
      </c>
      <c r="U118" s="30">
        <f>4008</f>
        <v>4008</v>
      </c>
      <c r="V118" s="30">
        <f>589910498</f>
        <v>589910498</v>
      </c>
      <c r="W118" s="30">
        <f>109790608</f>
        <v>109790608</v>
      </c>
      <c r="X118" s="34">
        <f>19</f>
        <v>19</v>
      </c>
    </row>
    <row r="119" spans="1:24">
      <c r="A119" s="25" t="s">
        <v>1224</v>
      </c>
      <c r="B119" s="25" t="s">
        <v>332</v>
      </c>
      <c r="C119" s="25" t="s">
        <v>333</v>
      </c>
      <c r="D119" s="25" t="s">
        <v>334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25830</f>
        <v>25830</v>
      </c>
      <c r="L119" s="32" t="s">
        <v>1116</v>
      </c>
      <c r="M119" s="31">
        <f>26995</f>
        <v>26995</v>
      </c>
      <c r="N119" s="32" t="s">
        <v>1111</v>
      </c>
      <c r="O119" s="31">
        <f>23250</f>
        <v>23250</v>
      </c>
      <c r="P119" s="32" t="s">
        <v>684</v>
      </c>
      <c r="Q119" s="31">
        <f>26235</f>
        <v>26235</v>
      </c>
      <c r="R119" s="32" t="s">
        <v>777</v>
      </c>
      <c r="S119" s="33">
        <f>25024.47</f>
        <v>25024.47</v>
      </c>
      <c r="T119" s="30">
        <f>15674</f>
        <v>15674</v>
      </c>
      <c r="U119" s="30">
        <f>4200</f>
        <v>4200</v>
      </c>
      <c r="V119" s="30">
        <f>390648425</f>
        <v>390648425</v>
      </c>
      <c r="W119" s="30">
        <f>101056065</f>
        <v>101056065</v>
      </c>
      <c r="X119" s="34">
        <f>19</f>
        <v>19</v>
      </c>
    </row>
    <row r="120" spans="1:24">
      <c r="A120" s="25" t="s">
        <v>1224</v>
      </c>
      <c r="B120" s="25" t="s">
        <v>335</v>
      </c>
      <c r="C120" s="25" t="s">
        <v>336</v>
      </c>
      <c r="D120" s="25" t="s">
        <v>337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55280</f>
        <v>55280</v>
      </c>
      <c r="L120" s="32" t="s">
        <v>1116</v>
      </c>
      <c r="M120" s="31">
        <f>58250</f>
        <v>58250</v>
      </c>
      <c r="N120" s="32" t="s">
        <v>1111</v>
      </c>
      <c r="O120" s="31">
        <f>48230</f>
        <v>48230</v>
      </c>
      <c r="P120" s="32" t="s">
        <v>876</v>
      </c>
      <c r="Q120" s="31">
        <f>56040</f>
        <v>56040</v>
      </c>
      <c r="R120" s="32" t="s">
        <v>777</v>
      </c>
      <c r="S120" s="33">
        <f>52470</f>
        <v>52470</v>
      </c>
      <c r="T120" s="30">
        <f>9276</f>
        <v>9276</v>
      </c>
      <c r="U120" s="30">
        <f>2022</f>
        <v>2022</v>
      </c>
      <c r="V120" s="30">
        <f>492726058</f>
        <v>492726058</v>
      </c>
      <c r="W120" s="30">
        <f>103254518</f>
        <v>103254518</v>
      </c>
      <c r="X120" s="34">
        <f>19</f>
        <v>19</v>
      </c>
    </row>
    <row r="121" spans="1:24">
      <c r="A121" s="25" t="s">
        <v>1224</v>
      </c>
      <c r="B121" s="25" t="s">
        <v>338</v>
      </c>
      <c r="C121" s="25" t="s">
        <v>339</v>
      </c>
      <c r="D121" s="25" t="s">
        <v>340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38050</f>
        <v>38050</v>
      </c>
      <c r="L121" s="32" t="s">
        <v>1116</v>
      </c>
      <c r="M121" s="31">
        <f>39370</f>
        <v>39370</v>
      </c>
      <c r="N121" s="32" t="s">
        <v>1111</v>
      </c>
      <c r="O121" s="31">
        <f>33660</f>
        <v>33660</v>
      </c>
      <c r="P121" s="32" t="s">
        <v>876</v>
      </c>
      <c r="Q121" s="31">
        <f>37320</f>
        <v>37320</v>
      </c>
      <c r="R121" s="32" t="s">
        <v>777</v>
      </c>
      <c r="S121" s="33">
        <f>36272.63</f>
        <v>36272.629999999997</v>
      </c>
      <c r="T121" s="30">
        <f>15589</f>
        <v>15589</v>
      </c>
      <c r="U121" s="30">
        <f>2934</f>
        <v>2934</v>
      </c>
      <c r="V121" s="30">
        <f>562596023</f>
        <v>562596023</v>
      </c>
      <c r="W121" s="30">
        <f>102812903</f>
        <v>102812903</v>
      </c>
      <c r="X121" s="34">
        <f>19</f>
        <v>19</v>
      </c>
    </row>
    <row r="122" spans="1:24">
      <c r="A122" s="25" t="s">
        <v>1224</v>
      </c>
      <c r="B122" s="25" t="s">
        <v>341</v>
      </c>
      <c r="C122" s="25" t="s">
        <v>342</v>
      </c>
      <c r="D122" s="25" t="s">
        <v>343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35380</f>
        <v>35380</v>
      </c>
      <c r="L122" s="32" t="s">
        <v>1116</v>
      </c>
      <c r="M122" s="31">
        <f>36270</f>
        <v>36270</v>
      </c>
      <c r="N122" s="32" t="s">
        <v>1111</v>
      </c>
      <c r="O122" s="31">
        <f>33550</f>
        <v>33550</v>
      </c>
      <c r="P122" s="32" t="s">
        <v>876</v>
      </c>
      <c r="Q122" s="31">
        <f>34890</f>
        <v>34890</v>
      </c>
      <c r="R122" s="32" t="s">
        <v>777</v>
      </c>
      <c r="S122" s="33">
        <f>34940</f>
        <v>34940</v>
      </c>
      <c r="T122" s="30">
        <f>11757</f>
        <v>11757</v>
      </c>
      <c r="U122" s="30">
        <f>727</f>
        <v>727</v>
      </c>
      <c r="V122" s="30">
        <f>405261380</f>
        <v>405261380</v>
      </c>
      <c r="W122" s="30">
        <f>25040790</f>
        <v>25040790</v>
      </c>
      <c r="X122" s="34">
        <f>19</f>
        <v>19</v>
      </c>
    </row>
    <row r="123" spans="1:24">
      <c r="A123" s="25" t="s">
        <v>1224</v>
      </c>
      <c r="B123" s="25" t="s">
        <v>344</v>
      </c>
      <c r="C123" s="25" t="s">
        <v>345</v>
      </c>
      <c r="D123" s="25" t="s">
        <v>346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9383</f>
        <v>9383</v>
      </c>
      <c r="L123" s="32" t="s">
        <v>1116</v>
      </c>
      <c r="M123" s="31">
        <f>9580</f>
        <v>9580</v>
      </c>
      <c r="N123" s="32" t="s">
        <v>1145</v>
      </c>
      <c r="O123" s="31">
        <f>8696</f>
        <v>8696</v>
      </c>
      <c r="P123" s="32" t="s">
        <v>682</v>
      </c>
      <c r="Q123" s="31">
        <f>9039</f>
        <v>9039</v>
      </c>
      <c r="R123" s="32" t="s">
        <v>777</v>
      </c>
      <c r="S123" s="33">
        <f>9116.32</f>
        <v>9116.32</v>
      </c>
      <c r="T123" s="30">
        <f>64644</f>
        <v>64644</v>
      </c>
      <c r="U123" s="30">
        <f>11001</f>
        <v>11001</v>
      </c>
      <c r="V123" s="30">
        <f>586709709</f>
        <v>586709709</v>
      </c>
      <c r="W123" s="30">
        <f>100884547</f>
        <v>100884547</v>
      </c>
      <c r="X123" s="34">
        <f>19</f>
        <v>19</v>
      </c>
    </row>
    <row r="124" spans="1:24">
      <c r="A124" s="25" t="s">
        <v>1224</v>
      </c>
      <c r="B124" s="25" t="s">
        <v>347</v>
      </c>
      <c r="C124" s="25" t="s">
        <v>348</v>
      </c>
      <c r="D124" s="25" t="s">
        <v>349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18285</f>
        <v>18285</v>
      </c>
      <c r="L124" s="32" t="s">
        <v>1116</v>
      </c>
      <c r="M124" s="31">
        <f>18840</f>
        <v>18840</v>
      </c>
      <c r="N124" s="32" t="s">
        <v>1111</v>
      </c>
      <c r="O124" s="31">
        <f>17510</f>
        <v>17510</v>
      </c>
      <c r="P124" s="32" t="s">
        <v>684</v>
      </c>
      <c r="Q124" s="31">
        <f>18485</f>
        <v>18485</v>
      </c>
      <c r="R124" s="32" t="s">
        <v>777</v>
      </c>
      <c r="S124" s="33">
        <f>18162.37</f>
        <v>18162.37</v>
      </c>
      <c r="T124" s="30">
        <f>15238</f>
        <v>15238</v>
      </c>
      <c r="U124" s="30">
        <f>5605</f>
        <v>5605</v>
      </c>
      <c r="V124" s="30">
        <f>277539681</f>
        <v>277539681</v>
      </c>
      <c r="W124" s="30">
        <f>101911246</f>
        <v>101911246</v>
      </c>
      <c r="X124" s="34">
        <f>19</f>
        <v>19</v>
      </c>
    </row>
    <row r="125" spans="1:24">
      <c r="A125" s="25" t="s">
        <v>1224</v>
      </c>
      <c r="B125" s="25" t="s">
        <v>350</v>
      </c>
      <c r="C125" s="25" t="s">
        <v>351</v>
      </c>
      <c r="D125" s="25" t="s">
        <v>352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84740</f>
        <v>84740</v>
      </c>
      <c r="L125" s="32" t="s">
        <v>1116</v>
      </c>
      <c r="M125" s="31">
        <f>87000</f>
        <v>87000</v>
      </c>
      <c r="N125" s="32" t="s">
        <v>1111</v>
      </c>
      <c r="O125" s="31">
        <f>77530</f>
        <v>77530</v>
      </c>
      <c r="P125" s="32" t="s">
        <v>682</v>
      </c>
      <c r="Q125" s="31">
        <f>84100</f>
        <v>84100</v>
      </c>
      <c r="R125" s="32" t="s">
        <v>777</v>
      </c>
      <c r="S125" s="33">
        <f>81756.32</f>
        <v>81756.320000000007</v>
      </c>
      <c r="T125" s="30">
        <f>21793</f>
        <v>21793</v>
      </c>
      <c r="U125" s="30">
        <f>50</f>
        <v>50</v>
      </c>
      <c r="V125" s="30">
        <f>1790417960</f>
        <v>1790417960</v>
      </c>
      <c r="W125" s="30">
        <f>4137280</f>
        <v>4137280</v>
      </c>
      <c r="X125" s="34">
        <f>19</f>
        <v>19</v>
      </c>
    </row>
    <row r="126" spans="1:24">
      <c r="A126" s="25" t="s">
        <v>1224</v>
      </c>
      <c r="B126" s="25" t="s">
        <v>1139</v>
      </c>
      <c r="C126" s="25" t="s">
        <v>1138</v>
      </c>
      <c r="D126" s="25" t="s">
        <v>1137</v>
      </c>
      <c r="E126" s="26" t="s">
        <v>43</v>
      </c>
      <c r="F126" s="27" t="s">
        <v>43</v>
      </c>
      <c r="G126" s="28" t="s">
        <v>43</v>
      </c>
      <c r="H126" s="29"/>
      <c r="I126" s="29" t="s">
        <v>465</v>
      </c>
      <c r="J126" s="30">
        <v>1</v>
      </c>
      <c r="K126" s="31">
        <f>10045</f>
        <v>10045</v>
      </c>
      <c r="L126" s="32" t="s">
        <v>1145</v>
      </c>
      <c r="M126" s="31">
        <f>10300</f>
        <v>10300</v>
      </c>
      <c r="N126" s="32" t="s">
        <v>1111</v>
      </c>
      <c r="O126" s="31">
        <f>9166</f>
        <v>9166</v>
      </c>
      <c r="P126" s="32" t="s">
        <v>876</v>
      </c>
      <c r="Q126" s="31">
        <f>9963</f>
        <v>9963</v>
      </c>
      <c r="R126" s="32" t="s">
        <v>777</v>
      </c>
      <c r="S126" s="33">
        <f>9634.6</f>
        <v>9634.6</v>
      </c>
      <c r="T126" s="30">
        <f>4854</f>
        <v>4854</v>
      </c>
      <c r="U126" s="30" t="str">
        <f>"－"</f>
        <v>－</v>
      </c>
      <c r="V126" s="30">
        <f>46022296</f>
        <v>46022296</v>
      </c>
      <c r="W126" s="30" t="str">
        <f>"－"</f>
        <v>－</v>
      </c>
      <c r="X126" s="34">
        <f>15</f>
        <v>15</v>
      </c>
    </row>
    <row r="127" spans="1:24">
      <c r="A127" s="25" t="s">
        <v>1224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30180</f>
        <v>30180</v>
      </c>
      <c r="L127" s="32" t="s">
        <v>1116</v>
      </c>
      <c r="M127" s="31">
        <f>31400</f>
        <v>31400</v>
      </c>
      <c r="N127" s="32" t="s">
        <v>1111</v>
      </c>
      <c r="O127" s="31">
        <f>29315</f>
        <v>29315</v>
      </c>
      <c r="P127" s="32" t="s">
        <v>684</v>
      </c>
      <c r="Q127" s="31">
        <f>30770</f>
        <v>30770</v>
      </c>
      <c r="R127" s="32" t="s">
        <v>777</v>
      </c>
      <c r="S127" s="33">
        <f>30303.42</f>
        <v>30303.42</v>
      </c>
      <c r="T127" s="30">
        <f>20789</f>
        <v>20789</v>
      </c>
      <c r="U127" s="30">
        <f>6007</f>
        <v>6007</v>
      </c>
      <c r="V127" s="30">
        <f>631146997</f>
        <v>631146997</v>
      </c>
      <c r="W127" s="30">
        <f>181588512</f>
        <v>181588512</v>
      </c>
      <c r="X127" s="34">
        <f>19</f>
        <v>19</v>
      </c>
    </row>
    <row r="128" spans="1:24">
      <c r="A128" s="25" t="s">
        <v>1224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17325</f>
        <v>17325</v>
      </c>
      <c r="L128" s="32" t="s">
        <v>1116</v>
      </c>
      <c r="M128" s="31">
        <f>17860</f>
        <v>17860</v>
      </c>
      <c r="N128" s="32" t="s">
        <v>1145</v>
      </c>
      <c r="O128" s="31">
        <f>15640</f>
        <v>15640</v>
      </c>
      <c r="P128" s="32" t="s">
        <v>682</v>
      </c>
      <c r="Q128" s="31">
        <f>16700</f>
        <v>16700</v>
      </c>
      <c r="R128" s="32" t="s">
        <v>777</v>
      </c>
      <c r="S128" s="33">
        <f>16540.26</f>
        <v>16540.259999999998</v>
      </c>
      <c r="T128" s="30">
        <f>64989</f>
        <v>64989</v>
      </c>
      <c r="U128" s="30">
        <f>6443</f>
        <v>6443</v>
      </c>
      <c r="V128" s="30">
        <f>1079881271</f>
        <v>1079881271</v>
      </c>
      <c r="W128" s="30">
        <f>108410591</f>
        <v>108410591</v>
      </c>
      <c r="X128" s="34">
        <f>19</f>
        <v>19</v>
      </c>
    </row>
    <row r="129" spans="1:24">
      <c r="A129" s="25" t="s">
        <v>1224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27130</f>
        <v>27130</v>
      </c>
      <c r="L129" s="32" t="s">
        <v>1116</v>
      </c>
      <c r="M129" s="31">
        <f>27695</f>
        <v>27695</v>
      </c>
      <c r="N129" s="32" t="s">
        <v>1145</v>
      </c>
      <c r="O129" s="31">
        <f>24095</f>
        <v>24095</v>
      </c>
      <c r="P129" s="32" t="s">
        <v>682</v>
      </c>
      <c r="Q129" s="31">
        <f>25820</f>
        <v>25820</v>
      </c>
      <c r="R129" s="32" t="s">
        <v>777</v>
      </c>
      <c r="S129" s="33">
        <f>25787.11</f>
        <v>25787.11</v>
      </c>
      <c r="T129" s="30">
        <f>44836</f>
        <v>44836</v>
      </c>
      <c r="U129" s="30">
        <f>7119</f>
        <v>7119</v>
      </c>
      <c r="V129" s="30">
        <f>1154281815</f>
        <v>1154281815</v>
      </c>
      <c r="W129" s="30">
        <f>181396225</f>
        <v>181396225</v>
      </c>
      <c r="X129" s="34">
        <f>19</f>
        <v>19</v>
      </c>
    </row>
    <row r="130" spans="1:24">
      <c r="A130" s="25" t="s">
        <v>1224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41220</f>
        <v>41220</v>
      </c>
      <c r="L130" s="32" t="s">
        <v>1116</v>
      </c>
      <c r="M130" s="31">
        <f>41400</f>
        <v>41400</v>
      </c>
      <c r="N130" s="32" t="s">
        <v>1116</v>
      </c>
      <c r="O130" s="31">
        <f>37410</f>
        <v>37410</v>
      </c>
      <c r="P130" s="32" t="s">
        <v>682</v>
      </c>
      <c r="Q130" s="31">
        <f>38350</f>
        <v>38350</v>
      </c>
      <c r="R130" s="32" t="s">
        <v>777</v>
      </c>
      <c r="S130" s="33">
        <f>39083.16</f>
        <v>39083.160000000003</v>
      </c>
      <c r="T130" s="30">
        <f>9748</f>
        <v>9748</v>
      </c>
      <c r="U130" s="30">
        <f>2741</f>
        <v>2741</v>
      </c>
      <c r="V130" s="30">
        <f>375755139</f>
        <v>375755139</v>
      </c>
      <c r="W130" s="30">
        <f>104318439</f>
        <v>104318439</v>
      </c>
      <c r="X130" s="34">
        <f>19</f>
        <v>19</v>
      </c>
    </row>
    <row r="131" spans="1:24">
      <c r="A131" s="25" t="s">
        <v>1224</v>
      </c>
      <c r="B131" s="25" t="s">
        <v>1136</v>
      </c>
      <c r="C131" s="25" t="s">
        <v>1135</v>
      </c>
      <c r="D131" s="25" t="s">
        <v>1134</v>
      </c>
      <c r="E131" s="26" t="s">
        <v>43</v>
      </c>
      <c r="F131" s="27" t="s">
        <v>43</v>
      </c>
      <c r="G131" s="28" t="s">
        <v>43</v>
      </c>
      <c r="H131" s="29"/>
      <c r="I131" s="29" t="s">
        <v>465</v>
      </c>
      <c r="J131" s="30">
        <v>1</v>
      </c>
      <c r="K131" s="31">
        <f>9013</f>
        <v>9013</v>
      </c>
      <c r="L131" s="32" t="s">
        <v>1116</v>
      </c>
      <c r="M131" s="31">
        <f>9032</f>
        <v>9032</v>
      </c>
      <c r="N131" s="32" t="s">
        <v>1116</v>
      </c>
      <c r="O131" s="31">
        <f>7500</f>
        <v>7500</v>
      </c>
      <c r="P131" s="32" t="s">
        <v>876</v>
      </c>
      <c r="Q131" s="31">
        <f>8370</f>
        <v>8370</v>
      </c>
      <c r="R131" s="32" t="s">
        <v>777</v>
      </c>
      <c r="S131" s="33">
        <f>8189.63</f>
        <v>8189.63</v>
      </c>
      <c r="T131" s="30">
        <f>128476</f>
        <v>128476</v>
      </c>
      <c r="U131" s="30" t="str">
        <f>"－"</f>
        <v>－</v>
      </c>
      <c r="V131" s="30">
        <f>1052388923</f>
        <v>1052388923</v>
      </c>
      <c r="W131" s="30" t="str">
        <f>"－"</f>
        <v>－</v>
      </c>
      <c r="X131" s="34">
        <f>19</f>
        <v>19</v>
      </c>
    </row>
    <row r="132" spans="1:24">
      <c r="A132" s="25" t="s">
        <v>1224</v>
      </c>
      <c r="B132" s="25" t="s">
        <v>365</v>
      </c>
      <c r="C132" s="25" t="s">
        <v>926</v>
      </c>
      <c r="D132" s="25" t="s">
        <v>927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2000</f>
        <v>2000</v>
      </c>
      <c r="L132" s="32" t="s">
        <v>1116</v>
      </c>
      <c r="M132" s="31">
        <f>2021</f>
        <v>2021</v>
      </c>
      <c r="N132" s="32" t="s">
        <v>1145</v>
      </c>
      <c r="O132" s="31">
        <f>1825</f>
        <v>1825</v>
      </c>
      <c r="P132" s="32" t="s">
        <v>682</v>
      </c>
      <c r="Q132" s="31">
        <f>1930</f>
        <v>1930</v>
      </c>
      <c r="R132" s="32" t="s">
        <v>777</v>
      </c>
      <c r="S132" s="33">
        <f>1921.95</f>
        <v>1921.95</v>
      </c>
      <c r="T132" s="30">
        <f>1450096</f>
        <v>1450096</v>
      </c>
      <c r="U132" s="30">
        <f>791903</f>
        <v>791903</v>
      </c>
      <c r="V132" s="30">
        <f>2806396097</f>
        <v>2806396097</v>
      </c>
      <c r="W132" s="30">
        <f>1544790057</f>
        <v>1544790057</v>
      </c>
      <c r="X132" s="34">
        <f>19</f>
        <v>19</v>
      </c>
    </row>
    <row r="133" spans="1:24">
      <c r="A133" s="25" t="s">
        <v>1224</v>
      </c>
      <c r="B133" s="25" t="s">
        <v>366</v>
      </c>
      <c r="C133" s="25" t="s">
        <v>928</v>
      </c>
      <c r="D133" s="25" t="s">
        <v>929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3144</f>
        <v>3144</v>
      </c>
      <c r="L133" s="32" t="s">
        <v>675</v>
      </c>
      <c r="M133" s="31">
        <f>3266</f>
        <v>3266</v>
      </c>
      <c r="N133" s="32" t="s">
        <v>1111</v>
      </c>
      <c r="O133" s="31">
        <f>3017</f>
        <v>3017</v>
      </c>
      <c r="P133" s="32" t="s">
        <v>682</v>
      </c>
      <c r="Q133" s="31">
        <f>3156</f>
        <v>3156</v>
      </c>
      <c r="R133" s="32" t="s">
        <v>777</v>
      </c>
      <c r="S133" s="33">
        <f>3128.54</f>
        <v>3128.54</v>
      </c>
      <c r="T133" s="30">
        <f>143800</f>
        <v>143800</v>
      </c>
      <c r="U133" s="30">
        <f>12320</f>
        <v>12320</v>
      </c>
      <c r="V133" s="30">
        <f>452037004</f>
        <v>452037004</v>
      </c>
      <c r="W133" s="30">
        <f>38564064</f>
        <v>38564064</v>
      </c>
      <c r="X133" s="34">
        <f>13</f>
        <v>13</v>
      </c>
    </row>
    <row r="134" spans="1:24">
      <c r="A134" s="25" t="s">
        <v>1224</v>
      </c>
      <c r="B134" s="25" t="s">
        <v>367</v>
      </c>
      <c r="C134" s="25" t="s">
        <v>930</v>
      </c>
      <c r="D134" s="25" t="s">
        <v>931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3501</f>
        <v>3501</v>
      </c>
      <c r="L134" s="32" t="s">
        <v>1116</v>
      </c>
      <c r="M134" s="31">
        <f>3554</f>
        <v>3554</v>
      </c>
      <c r="N134" s="32" t="s">
        <v>1111</v>
      </c>
      <c r="O134" s="31">
        <f>3215</f>
        <v>3215</v>
      </c>
      <c r="P134" s="32" t="s">
        <v>876</v>
      </c>
      <c r="Q134" s="31">
        <f>3423</f>
        <v>3423</v>
      </c>
      <c r="R134" s="32" t="s">
        <v>777</v>
      </c>
      <c r="S134" s="33">
        <f>3374.5</f>
        <v>3374.5</v>
      </c>
      <c r="T134" s="30">
        <f>70100</f>
        <v>70100</v>
      </c>
      <c r="U134" s="30" t="str">
        <f>"－"</f>
        <v>－</v>
      </c>
      <c r="V134" s="30">
        <f>235285090</f>
        <v>235285090</v>
      </c>
      <c r="W134" s="30" t="str">
        <f>"－"</f>
        <v>－</v>
      </c>
      <c r="X134" s="34">
        <f>18</f>
        <v>18</v>
      </c>
    </row>
    <row r="135" spans="1:24">
      <c r="A135" s="25" t="s">
        <v>1224</v>
      </c>
      <c r="B135" s="25" t="s">
        <v>368</v>
      </c>
      <c r="C135" s="25" t="s">
        <v>932</v>
      </c>
      <c r="D135" s="25" t="s">
        <v>933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2195</f>
        <v>2195</v>
      </c>
      <c r="L135" s="32" t="s">
        <v>1116</v>
      </c>
      <c r="M135" s="31">
        <f>2274</f>
        <v>2274</v>
      </c>
      <c r="N135" s="32" t="s">
        <v>777</v>
      </c>
      <c r="O135" s="31">
        <f>2014.5</f>
        <v>2014.5</v>
      </c>
      <c r="P135" s="32" t="s">
        <v>684</v>
      </c>
      <c r="Q135" s="31">
        <f>2138.5</f>
        <v>2138.5</v>
      </c>
      <c r="R135" s="32" t="s">
        <v>777</v>
      </c>
      <c r="S135" s="33">
        <f>2102.08</f>
        <v>2102.08</v>
      </c>
      <c r="T135" s="30">
        <f>37930</f>
        <v>37930</v>
      </c>
      <c r="U135" s="30">
        <f>17780</f>
        <v>17780</v>
      </c>
      <c r="V135" s="30">
        <f>79114356</f>
        <v>79114356</v>
      </c>
      <c r="W135" s="30">
        <f>36328096</f>
        <v>36328096</v>
      </c>
      <c r="X135" s="34">
        <f>13</f>
        <v>13</v>
      </c>
    </row>
    <row r="136" spans="1:24">
      <c r="A136" s="25" t="s">
        <v>1224</v>
      </c>
      <c r="B136" s="25" t="s">
        <v>369</v>
      </c>
      <c r="C136" s="25" t="s">
        <v>370</v>
      </c>
      <c r="D136" s="25" t="s">
        <v>371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594.3</f>
        <v>594.29999999999995</v>
      </c>
      <c r="L136" s="32" t="s">
        <v>1116</v>
      </c>
      <c r="M136" s="31">
        <f>606.9</f>
        <v>606.9</v>
      </c>
      <c r="N136" s="32" t="s">
        <v>1111</v>
      </c>
      <c r="O136" s="31">
        <f>554</f>
        <v>554</v>
      </c>
      <c r="P136" s="32" t="s">
        <v>684</v>
      </c>
      <c r="Q136" s="31">
        <f>585.4</f>
        <v>585.4</v>
      </c>
      <c r="R136" s="32" t="s">
        <v>777</v>
      </c>
      <c r="S136" s="33">
        <f>579.21</f>
        <v>579.21</v>
      </c>
      <c r="T136" s="30">
        <f>38259960</f>
        <v>38259960</v>
      </c>
      <c r="U136" s="30">
        <f>1879460</f>
        <v>1879460</v>
      </c>
      <c r="V136" s="30">
        <f>22210293153</f>
        <v>22210293153</v>
      </c>
      <c r="W136" s="30">
        <f>1104414861</f>
        <v>1104414861</v>
      </c>
      <c r="X136" s="34">
        <f>19</f>
        <v>19</v>
      </c>
    </row>
    <row r="137" spans="1:24">
      <c r="A137" s="25" t="s">
        <v>1224</v>
      </c>
      <c r="B137" s="25" t="s">
        <v>372</v>
      </c>
      <c r="C137" s="25" t="s">
        <v>373</v>
      </c>
      <c r="D137" s="25" t="s">
        <v>374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296.5</f>
        <v>296.5</v>
      </c>
      <c r="L137" s="32" t="s">
        <v>1116</v>
      </c>
      <c r="M137" s="31">
        <f>300.4</f>
        <v>300.39999999999998</v>
      </c>
      <c r="N137" s="32" t="s">
        <v>1111</v>
      </c>
      <c r="O137" s="31">
        <f>290.9</f>
        <v>290.89999999999998</v>
      </c>
      <c r="P137" s="32" t="s">
        <v>682</v>
      </c>
      <c r="Q137" s="31">
        <f>291.7</f>
        <v>291.7</v>
      </c>
      <c r="R137" s="32" t="s">
        <v>777</v>
      </c>
      <c r="S137" s="33">
        <f>294.62</f>
        <v>294.62</v>
      </c>
      <c r="T137" s="30">
        <f>21749840</f>
        <v>21749840</v>
      </c>
      <c r="U137" s="30">
        <f>14130500</f>
        <v>14130500</v>
      </c>
      <c r="V137" s="30">
        <f>6416874703</f>
        <v>6416874703</v>
      </c>
      <c r="W137" s="30">
        <f>4169770745</f>
        <v>4169770745</v>
      </c>
      <c r="X137" s="34">
        <f>19</f>
        <v>19</v>
      </c>
    </row>
    <row r="138" spans="1:24">
      <c r="A138" s="25" t="s">
        <v>1224</v>
      </c>
      <c r="B138" s="25" t="s">
        <v>375</v>
      </c>
      <c r="C138" s="25" t="s">
        <v>973</v>
      </c>
      <c r="D138" s="25" t="s">
        <v>376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4980</f>
        <v>4980</v>
      </c>
      <c r="L138" s="32" t="s">
        <v>1116</v>
      </c>
      <c r="M138" s="31">
        <f>5080</f>
        <v>5080</v>
      </c>
      <c r="N138" s="32" t="s">
        <v>1111</v>
      </c>
      <c r="O138" s="31">
        <f>4640</f>
        <v>4640</v>
      </c>
      <c r="P138" s="32" t="s">
        <v>684</v>
      </c>
      <c r="Q138" s="31">
        <f>4920</f>
        <v>4920</v>
      </c>
      <c r="R138" s="32" t="s">
        <v>777</v>
      </c>
      <c r="S138" s="33">
        <f>4852.63</f>
        <v>4852.63</v>
      </c>
      <c r="T138" s="30">
        <f>162999</f>
        <v>162999</v>
      </c>
      <c r="U138" s="30">
        <f>108310</f>
        <v>108310</v>
      </c>
      <c r="V138" s="30">
        <f>775930992</f>
        <v>775930992</v>
      </c>
      <c r="W138" s="30">
        <f>509557687</f>
        <v>509557687</v>
      </c>
      <c r="X138" s="34">
        <f>19</f>
        <v>19</v>
      </c>
    </row>
    <row r="139" spans="1:24">
      <c r="A139" s="25" t="s">
        <v>1224</v>
      </c>
      <c r="B139" s="25" t="s">
        <v>377</v>
      </c>
      <c r="C139" s="25" t="s">
        <v>378</v>
      </c>
      <c r="D139" s="25" t="s">
        <v>379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2673</f>
        <v>2673</v>
      </c>
      <c r="L139" s="32" t="s">
        <v>1116</v>
      </c>
      <c r="M139" s="31">
        <f>2840</f>
        <v>2840</v>
      </c>
      <c r="N139" s="32" t="s">
        <v>1111</v>
      </c>
      <c r="O139" s="31">
        <f>2498</f>
        <v>2498</v>
      </c>
      <c r="P139" s="32" t="s">
        <v>684</v>
      </c>
      <c r="Q139" s="31">
        <f>2807</f>
        <v>2807</v>
      </c>
      <c r="R139" s="32" t="s">
        <v>777</v>
      </c>
      <c r="S139" s="33">
        <f>2631.79</f>
        <v>2631.79</v>
      </c>
      <c r="T139" s="30">
        <f>193524</f>
        <v>193524</v>
      </c>
      <c r="U139" s="30">
        <f>104780</f>
        <v>104780</v>
      </c>
      <c r="V139" s="30">
        <f>509952528</f>
        <v>509952528</v>
      </c>
      <c r="W139" s="30">
        <f>274110725</f>
        <v>274110725</v>
      </c>
      <c r="X139" s="34">
        <f>19</f>
        <v>19</v>
      </c>
    </row>
    <row r="140" spans="1:24">
      <c r="A140" s="25" t="s">
        <v>1224</v>
      </c>
      <c r="B140" s="25" t="s">
        <v>380</v>
      </c>
      <c r="C140" s="25" t="s">
        <v>381</v>
      </c>
      <c r="D140" s="25" t="s">
        <v>382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3260</f>
        <v>3260</v>
      </c>
      <c r="L140" s="32" t="s">
        <v>1116</v>
      </c>
      <c r="M140" s="31">
        <f>3345</f>
        <v>3345</v>
      </c>
      <c r="N140" s="32" t="s">
        <v>676</v>
      </c>
      <c r="O140" s="31">
        <f>3165</f>
        <v>3165</v>
      </c>
      <c r="P140" s="32" t="s">
        <v>876</v>
      </c>
      <c r="Q140" s="31">
        <f>3245</f>
        <v>3245</v>
      </c>
      <c r="R140" s="32" t="s">
        <v>777</v>
      </c>
      <c r="S140" s="33">
        <f>3259.74</f>
        <v>3259.74</v>
      </c>
      <c r="T140" s="30">
        <f>235866</f>
        <v>235866</v>
      </c>
      <c r="U140" s="30">
        <f>1</f>
        <v>1</v>
      </c>
      <c r="V140" s="30">
        <f>772785510</f>
        <v>772785510</v>
      </c>
      <c r="W140" s="30">
        <f>3270</f>
        <v>3270</v>
      </c>
      <c r="X140" s="34">
        <f>19</f>
        <v>19</v>
      </c>
    </row>
    <row r="141" spans="1:24">
      <c r="A141" s="25" t="s">
        <v>1224</v>
      </c>
      <c r="B141" s="25" t="s">
        <v>383</v>
      </c>
      <c r="C141" s="25" t="s">
        <v>384</v>
      </c>
      <c r="D141" s="25" t="s">
        <v>385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10080</f>
        <v>10080</v>
      </c>
      <c r="L141" s="32" t="s">
        <v>1116</v>
      </c>
      <c r="M141" s="31">
        <f>10100</f>
        <v>10100</v>
      </c>
      <c r="N141" s="32" t="s">
        <v>1116</v>
      </c>
      <c r="O141" s="31">
        <f>9806</f>
        <v>9806</v>
      </c>
      <c r="P141" s="32" t="s">
        <v>684</v>
      </c>
      <c r="Q141" s="31">
        <f>9845</f>
        <v>9845</v>
      </c>
      <c r="R141" s="32" t="s">
        <v>777</v>
      </c>
      <c r="S141" s="33">
        <f>9933.16</f>
        <v>9933.16</v>
      </c>
      <c r="T141" s="30">
        <f>49553</f>
        <v>49553</v>
      </c>
      <c r="U141" s="30">
        <f>11035</f>
        <v>11035</v>
      </c>
      <c r="V141" s="30">
        <f>492422409</f>
        <v>492422409</v>
      </c>
      <c r="W141" s="30">
        <f>109567921</f>
        <v>109567921</v>
      </c>
      <c r="X141" s="34">
        <f>19</f>
        <v>19</v>
      </c>
    </row>
    <row r="142" spans="1:24">
      <c r="A142" s="25" t="s">
        <v>1224</v>
      </c>
      <c r="B142" s="25" t="s">
        <v>386</v>
      </c>
      <c r="C142" s="25" t="s">
        <v>387</v>
      </c>
      <c r="D142" s="25" t="s">
        <v>388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2961</f>
        <v>2961</v>
      </c>
      <c r="L142" s="32" t="s">
        <v>1116</v>
      </c>
      <c r="M142" s="31">
        <f>3010</f>
        <v>3010</v>
      </c>
      <c r="N142" s="32" t="s">
        <v>1145</v>
      </c>
      <c r="O142" s="31">
        <f>2585</f>
        <v>2585</v>
      </c>
      <c r="P142" s="32" t="s">
        <v>684</v>
      </c>
      <c r="Q142" s="31">
        <f>2765</f>
        <v>2765</v>
      </c>
      <c r="R142" s="32" t="s">
        <v>777</v>
      </c>
      <c r="S142" s="33">
        <f>2785.84</f>
        <v>2785.84</v>
      </c>
      <c r="T142" s="30">
        <f>5079477</f>
        <v>5079477</v>
      </c>
      <c r="U142" s="30">
        <f>254</f>
        <v>254</v>
      </c>
      <c r="V142" s="30">
        <f>14108321204</f>
        <v>14108321204</v>
      </c>
      <c r="W142" s="30">
        <f>709876</f>
        <v>709876</v>
      </c>
      <c r="X142" s="34">
        <f>19</f>
        <v>19</v>
      </c>
    </row>
    <row r="143" spans="1:24">
      <c r="A143" s="25" t="s">
        <v>1224</v>
      </c>
      <c r="B143" s="25" t="s">
        <v>389</v>
      </c>
      <c r="C143" s="25" t="s">
        <v>390</v>
      </c>
      <c r="D143" s="25" t="s">
        <v>391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34540</f>
        <v>34540</v>
      </c>
      <c r="L143" s="32" t="s">
        <v>1116</v>
      </c>
      <c r="M143" s="31">
        <f>36470</f>
        <v>36470</v>
      </c>
      <c r="N143" s="32" t="s">
        <v>1111</v>
      </c>
      <c r="O143" s="31">
        <f>33140</f>
        <v>33140</v>
      </c>
      <c r="P143" s="32" t="s">
        <v>876</v>
      </c>
      <c r="Q143" s="31">
        <f>35240</f>
        <v>35240</v>
      </c>
      <c r="R143" s="32" t="s">
        <v>777</v>
      </c>
      <c r="S143" s="33">
        <f>34298.95</f>
        <v>34298.949999999997</v>
      </c>
      <c r="T143" s="30">
        <f>6582</f>
        <v>6582</v>
      </c>
      <c r="U143" s="30">
        <f>1</f>
        <v>1</v>
      </c>
      <c r="V143" s="30">
        <f>228021890</f>
        <v>228021890</v>
      </c>
      <c r="W143" s="30">
        <f>34030</f>
        <v>34030</v>
      </c>
      <c r="X143" s="34">
        <f>19</f>
        <v>19</v>
      </c>
    </row>
    <row r="144" spans="1:24">
      <c r="A144" s="25" t="s">
        <v>1224</v>
      </c>
      <c r="B144" s="25" t="s">
        <v>392</v>
      </c>
      <c r="C144" s="25" t="s">
        <v>393</v>
      </c>
      <c r="D144" s="25" t="s">
        <v>394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10</v>
      </c>
      <c r="K144" s="31">
        <f>3881</f>
        <v>3881</v>
      </c>
      <c r="L144" s="32" t="s">
        <v>1116</v>
      </c>
      <c r="M144" s="31">
        <f>4285</f>
        <v>4285</v>
      </c>
      <c r="N144" s="32" t="s">
        <v>1111</v>
      </c>
      <c r="O144" s="31">
        <f>3645</f>
        <v>3645</v>
      </c>
      <c r="P144" s="32" t="s">
        <v>876</v>
      </c>
      <c r="Q144" s="31">
        <f>4125</f>
        <v>4125</v>
      </c>
      <c r="R144" s="32" t="s">
        <v>777</v>
      </c>
      <c r="S144" s="33">
        <f>3922.95</f>
        <v>3922.95</v>
      </c>
      <c r="T144" s="30">
        <f>43810</f>
        <v>43810</v>
      </c>
      <c r="U144" s="30" t="str">
        <f>"－"</f>
        <v>－</v>
      </c>
      <c r="V144" s="30">
        <f>175432090</f>
        <v>175432090</v>
      </c>
      <c r="W144" s="30" t="str">
        <f>"－"</f>
        <v>－</v>
      </c>
      <c r="X144" s="34">
        <f>19</f>
        <v>19</v>
      </c>
    </row>
    <row r="145" spans="1:24">
      <c r="A145" s="25" t="s">
        <v>1224</v>
      </c>
      <c r="B145" s="25" t="s">
        <v>395</v>
      </c>
      <c r="C145" s="25" t="s">
        <v>396</v>
      </c>
      <c r="D145" s="25" t="s">
        <v>397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12520</f>
        <v>12520</v>
      </c>
      <c r="L145" s="32" t="s">
        <v>1116</v>
      </c>
      <c r="M145" s="31">
        <f>13450</f>
        <v>13450</v>
      </c>
      <c r="N145" s="32" t="s">
        <v>1111</v>
      </c>
      <c r="O145" s="31">
        <f>11800</f>
        <v>11800</v>
      </c>
      <c r="P145" s="32" t="s">
        <v>674</v>
      </c>
      <c r="Q145" s="31">
        <f>13000</f>
        <v>13000</v>
      </c>
      <c r="R145" s="32" t="s">
        <v>777</v>
      </c>
      <c r="S145" s="33">
        <f>12651.32</f>
        <v>12651.32</v>
      </c>
      <c r="T145" s="30">
        <f>8267</f>
        <v>8267</v>
      </c>
      <c r="U145" s="30" t="str">
        <f>"－"</f>
        <v>－</v>
      </c>
      <c r="V145" s="30">
        <f>103901490</f>
        <v>103901490</v>
      </c>
      <c r="W145" s="30" t="str">
        <f>"－"</f>
        <v>－</v>
      </c>
      <c r="X145" s="34">
        <f>19</f>
        <v>19</v>
      </c>
    </row>
    <row r="146" spans="1:24">
      <c r="A146" s="25" t="s">
        <v>1224</v>
      </c>
      <c r="B146" s="25" t="s">
        <v>398</v>
      </c>
      <c r="C146" s="25" t="s">
        <v>399</v>
      </c>
      <c r="D146" s="25" t="s">
        <v>400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13045</f>
        <v>13045</v>
      </c>
      <c r="L146" s="32" t="s">
        <v>1116</v>
      </c>
      <c r="M146" s="31">
        <f>14605</f>
        <v>14605</v>
      </c>
      <c r="N146" s="32" t="s">
        <v>678</v>
      </c>
      <c r="O146" s="31">
        <f>12025</f>
        <v>12025</v>
      </c>
      <c r="P146" s="32" t="s">
        <v>876</v>
      </c>
      <c r="Q146" s="31">
        <f>13260</f>
        <v>13260</v>
      </c>
      <c r="R146" s="32" t="s">
        <v>777</v>
      </c>
      <c r="S146" s="33">
        <f>13302.37</f>
        <v>13302.37</v>
      </c>
      <c r="T146" s="30">
        <f>8331</f>
        <v>8331</v>
      </c>
      <c r="U146" s="30" t="str">
        <f>"－"</f>
        <v>－</v>
      </c>
      <c r="V146" s="30">
        <f>114016665</f>
        <v>114016665</v>
      </c>
      <c r="W146" s="30" t="str">
        <f>"－"</f>
        <v>－</v>
      </c>
      <c r="X146" s="34">
        <f>19</f>
        <v>19</v>
      </c>
    </row>
    <row r="147" spans="1:24">
      <c r="A147" s="25" t="s">
        <v>1224</v>
      </c>
      <c r="B147" s="25" t="s">
        <v>401</v>
      </c>
      <c r="C147" s="25" t="s">
        <v>402</v>
      </c>
      <c r="D147" s="25" t="s">
        <v>403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22235</f>
        <v>22235</v>
      </c>
      <c r="L147" s="32" t="s">
        <v>1116</v>
      </c>
      <c r="M147" s="31">
        <f>23985</f>
        <v>23985</v>
      </c>
      <c r="N147" s="32" t="s">
        <v>1111</v>
      </c>
      <c r="O147" s="31">
        <f>21160</f>
        <v>21160</v>
      </c>
      <c r="P147" s="32" t="s">
        <v>674</v>
      </c>
      <c r="Q147" s="31">
        <f>22780</f>
        <v>22780</v>
      </c>
      <c r="R147" s="32" t="s">
        <v>777</v>
      </c>
      <c r="S147" s="33">
        <f>22442.94</f>
        <v>22442.94</v>
      </c>
      <c r="T147" s="30">
        <f>712</f>
        <v>712</v>
      </c>
      <c r="U147" s="30" t="str">
        <f>"－"</f>
        <v>－</v>
      </c>
      <c r="V147" s="30">
        <f>15645255</f>
        <v>15645255</v>
      </c>
      <c r="W147" s="30" t="str">
        <f>"－"</f>
        <v>－</v>
      </c>
      <c r="X147" s="34">
        <f>17</f>
        <v>17</v>
      </c>
    </row>
    <row r="148" spans="1:24">
      <c r="A148" s="25" t="s">
        <v>1224</v>
      </c>
      <c r="B148" s="25" t="s">
        <v>404</v>
      </c>
      <c r="C148" s="25" t="s">
        <v>405</v>
      </c>
      <c r="D148" s="25" t="s">
        <v>406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54850</f>
        <v>54850</v>
      </c>
      <c r="L148" s="32" t="s">
        <v>1116</v>
      </c>
      <c r="M148" s="31">
        <f>56190</f>
        <v>56190</v>
      </c>
      <c r="N148" s="32" t="s">
        <v>1145</v>
      </c>
      <c r="O148" s="31">
        <f>53930</f>
        <v>53930</v>
      </c>
      <c r="P148" s="32" t="s">
        <v>1123</v>
      </c>
      <c r="Q148" s="31">
        <f>54690</f>
        <v>54690</v>
      </c>
      <c r="R148" s="32" t="s">
        <v>777</v>
      </c>
      <c r="S148" s="33">
        <f>54733.89</f>
        <v>54733.89</v>
      </c>
      <c r="T148" s="30">
        <f>2730</f>
        <v>2730</v>
      </c>
      <c r="U148" s="30">
        <f>10</f>
        <v>10</v>
      </c>
      <c r="V148" s="30">
        <f>149336100</f>
        <v>149336100</v>
      </c>
      <c r="W148" s="30">
        <f>550700</f>
        <v>550700</v>
      </c>
      <c r="X148" s="34">
        <f>18</f>
        <v>18</v>
      </c>
    </row>
    <row r="149" spans="1:24">
      <c r="A149" s="25" t="s">
        <v>1224</v>
      </c>
      <c r="B149" s="25" t="s">
        <v>407</v>
      </c>
      <c r="C149" s="25" t="s">
        <v>974</v>
      </c>
      <c r="D149" s="25" t="s">
        <v>408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372.4</f>
        <v>372.4</v>
      </c>
      <c r="L149" s="32" t="s">
        <v>1116</v>
      </c>
      <c r="M149" s="31">
        <f>385.5</f>
        <v>385.5</v>
      </c>
      <c r="N149" s="32" t="s">
        <v>1111</v>
      </c>
      <c r="O149" s="31">
        <f>349.5</f>
        <v>349.5</v>
      </c>
      <c r="P149" s="32" t="s">
        <v>876</v>
      </c>
      <c r="Q149" s="31">
        <f>368.5</f>
        <v>368.5</v>
      </c>
      <c r="R149" s="32" t="s">
        <v>777</v>
      </c>
      <c r="S149" s="33">
        <f>365.97</f>
        <v>365.97</v>
      </c>
      <c r="T149" s="30">
        <f>37075360</f>
        <v>37075360</v>
      </c>
      <c r="U149" s="30">
        <f>261720</f>
        <v>261720</v>
      </c>
      <c r="V149" s="30">
        <f>13620605688</f>
        <v>13620605688</v>
      </c>
      <c r="W149" s="30">
        <f>94821319</f>
        <v>94821319</v>
      </c>
      <c r="X149" s="34">
        <f>19</f>
        <v>19</v>
      </c>
    </row>
    <row r="150" spans="1:24">
      <c r="A150" s="25" t="s">
        <v>1224</v>
      </c>
      <c r="B150" s="25" t="s">
        <v>409</v>
      </c>
      <c r="C150" s="25" t="s">
        <v>975</v>
      </c>
      <c r="D150" s="25" t="s">
        <v>410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50970</f>
        <v>50970</v>
      </c>
      <c r="L150" s="32" t="s">
        <v>1116</v>
      </c>
      <c r="M150" s="31">
        <f>51540</f>
        <v>51540</v>
      </c>
      <c r="N150" s="32" t="s">
        <v>1111</v>
      </c>
      <c r="O150" s="31">
        <f>47760</f>
        <v>47760</v>
      </c>
      <c r="P150" s="32" t="s">
        <v>684</v>
      </c>
      <c r="Q150" s="31">
        <f>50480</f>
        <v>50480</v>
      </c>
      <c r="R150" s="32" t="s">
        <v>777</v>
      </c>
      <c r="S150" s="33">
        <f>49644.21</f>
        <v>49644.21</v>
      </c>
      <c r="T150" s="30">
        <f>2270</f>
        <v>2270</v>
      </c>
      <c r="U150" s="30">
        <f>10</f>
        <v>10</v>
      </c>
      <c r="V150" s="30">
        <f>112485300</f>
        <v>112485300</v>
      </c>
      <c r="W150" s="30">
        <f>506100</f>
        <v>506100</v>
      </c>
      <c r="X150" s="34">
        <f>19</f>
        <v>19</v>
      </c>
    </row>
    <row r="151" spans="1:24">
      <c r="A151" s="25" t="s">
        <v>1224</v>
      </c>
      <c r="B151" s="25" t="s">
        <v>411</v>
      </c>
      <c r="C151" s="25" t="s">
        <v>412</v>
      </c>
      <c r="D151" s="25" t="s">
        <v>976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5710</f>
        <v>5710</v>
      </c>
      <c r="L151" s="32" t="s">
        <v>1116</v>
      </c>
      <c r="M151" s="31">
        <f>5833</f>
        <v>5833</v>
      </c>
      <c r="N151" s="32" t="s">
        <v>1111</v>
      </c>
      <c r="O151" s="31">
        <f>5321</f>
        <v>5321</v>
      </c>
      <c r="P151" s="32" t="s">
        <v>684</v>
      </c>
      <c r="Q151" s="31">
        <f>5639</f>
        <v>5639</v>
      </c>
      <c r="R151" s="32" t="s">
        <v>777</v>
      </c>
      <c r="S151" s="33">
        <f>5563.95</f>
        <v>5563.95</v>
      </c>
      <c r="T151" s="30">
        <f>51700</f>
        <v>51700</v>
      </c>
      <c r="U151" s="30" t="str">
        <f>"－"</f>
        <v>－</v>
      </c>
      <c r="V151" s="30">
        <f>289840580</f>
        <v>289840580</v>
      </c>
      <c r="W151" s="30" t="str">
        <f>"－"</f>
        <v>－</v>
      </c>
      <c r="X151" s="34">
        <f>19</f>
        <v>19</v>
      </c>
    </row>
    <row r="152" spans="1:24">
      <c r="A152" s="25" t="s">
        <v>1224</v>
      </c>
      <c r="B152" s="25" t="s">
        <v>413</v>
      </c>
      <c r="C152" s="25" t="s">
        <v>977</v>
      </c>
      <c r="D152" s="25" t="s">
        <v>978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2027.5</f>
        <v>2027.5</v>
      </c>
      <c r="L152" s="32" t="s">
        <v>1116</v>
      </c>
      <c r="M152" s="31">
        <f>2185</f>
        <v>2185</v>
      </c>
      <c r="N152" s="32" t="s">
        <v>1111</v>
      </c>
      <c r="O152" s="31">
        <f>1901.5</f>
        <v>1901.5</v>
      </c>
      <c r="P152" s="32" t="s">
        <v>684</v>
      </c>
      <c r="Q152" s="31">
        <f>2133</f>
        <v>2133</v>
      </c>
      <c r="R152" s="32" t="s">
        <v>777</v>
      </c>
      <c r="S152" s="33">
        <f>2015.05</f>
        <v>2015.05</v>
      </c>
      <c r="T152" s="30">
        <f>140660</f>
        <v>140660</v>
      </c>
      <c r="U152" s="30">
        <f>19500</f>
        <v>19500</v>
      </c>
      <c r="V152" s="30">
        <f>290398040</f>
        <v>290398040</v>
      </c>
      <c r="W152" s="30">
        <f>39054450</f>
        <v>39054450</v>
      </c>
      <c r="X152" s="34">
        <f>19</f>
        <v>19</v>
      </c>
    </row>
    <row r="153" spans="1:24">
      <c r="A153" s="25" t="s">
        <v>1224</v>
      </c>
      <c r="B153" s="25" t="s">
        <v>417</v>
      </c>
      <c r="C153" s="25" t="s">
        <v>418</v>
      </c>
      <c r="D153" s="25" t="s">
        <v>419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1529</f>
        <v>1529</v>
      </c>
      <c r="L153" s="32" t="s">
        <v>1116</v>
      </c>
      <c r="M153" s="31">
        <f>1625</f>
        <v>1625</v>
      </c>
      <c r="N153" s="32" t="s">
        <v>1111</v>
      </c>
      <c r="O153" s="31">
        <f>1491.5</f>
        <v>1491.5</v>
      </c>
      <c r="P153" s="32" t="s">
        <v>1123</v>
      </c>
      <c r="Q153" s="31">
        <f>1598</f>
        <v>1598</v>
      </c>
      <c r="R153" s="32" t="s">
        <v>777</v>
      </c>
      <c r="S153" s="33">
        <f>1557.44</f>
        <v>1557.44</v>
      </c>
      <c r="T153" s="30">
        <f>3170</f>
        <v>3170</v>
      </c>
      <c r="U153" s="30" t="str">
        <f t="shared" ref="U153:U166" si="0">"－"</f>
        <v>－</v>
      </c>
      <c r="V153" s="30">
        <f>4945100</f>
        <v>4945100</v>
      </c>
      <c r="W153" s="30" t="str">
        <f t="shared" ref="W153:W166" si="1">"－"</f>
        <v>－</v>
      </c>
      <c r="X153" s="34">
        <f>16</f>
        <v>16</v>
      </c>
    </row>
    <row r="154" spans="1:24">
      <c r="A154" s="25" t="s">
        <v>1224</v>
      </c>
      <c r="B154" s="25" t="s">
        <v>420</v>
      </c>
      <c r="C154" s="25" t="s">
        <v>421</v>
      </c>
      <c r="D154" s="25" t="s">
        <v>422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513.1</f>
        <v>513.1</v>
      </c>
      <c r="L154" s="32" t="s">
        <v>1116</v>
      </c>
      <c r="M154" s="31">
        <f>513.1</f>
        <v>513.1</v>
      </c>
      <c r="N154" s="32" t="s">
        <v>1116</v>
      </c>
      <c r="O154" s="31">
        <f>443</f>
        <v>443</v>
      </c>
      <c r="P154" s="32" t="s">
        <v>684</v>
      </c>
      <c r="Q154" s="31">
        <f>475.5</f>
        <v>475.5</v>
      </c>
      <c r="R154" s="32" t="s">
        <v>777</v>
      </c>
      <c r="S154" s="33">
        <f>474.01</f>
        <v>474.01</v>
      </c>
      <c r="T154" s="30">
        <f>49520</f>
        <v>49520</v>
      </c>
      <c r="U154" s="30" t="str">
        <f t="shared" si="0"/>
        <v>－</v>
      </c>
      <c r="V154" s="30">
        <f>23422941</f>
        <v>23422941</v>
      </c>
      <c r="W154" s="30" t="str">
        <f t="shared" si="1"/>
        <v>－</v>
      </c>
      <c r="X154" s="34">
        <f>19</f>
        <v>19</v>
      </c>
    </row>
    <row r="155" spans="1:24">
      <c r="A155" s="25" t="s">
        <v>1224</v>
      </c>
      <c r="B155" s="25" t="s">
        <v>423</v>
      </c>
      <c r="C155" s="25" t="s">
        <v>424</v>
      </c>
      <c r="D155" s="25" t="s">
        <v>425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2332.5</f>
        <v>2332.5</v>
      </c>
      <c r="L155" s="32" t="s">
        <v>1116</v>
      </c>
      <c r="M155" s="31">
        <f>2359</f>
        <v>2359</v>
      </c>
      <c r="N155" s="32" t="s">
        <v>1111</v>
      </c>
      <c r="O155" s="31">
        <f>2039</f>
        <v>2039</v>
      </c>
      <c r="P155" s="32" t="s">
        <v>684</v>
      </c>
      <c r="Q155" s="31">
        <f>2303</f>
        <v>2303</v>
      </c>
      <c r="R155" s="32" t="s">
        <v>777</v>
      </c>
      <c r="S155" s="33">
        <f>2162.79</f>
        <v>2162.79</v>
      </c>
      <c r="T155" s="30">
        <f>3580</f>
        <v>3580</v>
      </c>
      <c r="U155" s="30" t="str">
        <f t="shared" si="0"/>
        <v>－</v>
      </c>
      <c r="V155" s="30">
        <f>7781200</f>
        <v>7781200</v>
      </c>
      <c r="W155" s="30" t="str">
        <f t="shared" si="1"/>
        <v>－</v>
      </c>
      <c r="X155" s="34">
        <f>19</f>
        <v>19</v>
      </c>
    </row>
    <row r="156" spans="1:24">
      <c r="A156" s="25" t="s">
        <v>1224</v>
      </c>
      <c r="B156" s="25" t="s">
        <v>426</v>
      </c>
      <c r="C156" s="25" t="s">
        <v>427</v>
      </c>
      <c r="D156" s="25" t="s">
        <v>428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827</f>
        <v>827</v>
      </c>
      <c r="L156" s="32" t="s">
        <v>1116</v>
      </c>
      <c r="M156" s="31">
        <f>894.4</f>
        <v>894.4</v>
      </c>
      <c r="N156" s="32" t="s">
        <v>676</v>
      </c>
      <c r="O156" s="31">
        <f>805.1</f>
        <v>805.1</v>
      </c>
      <c r="P156" s="32" t="s">
        <v>1123</v>
      </c>
      <c r="Q156" s="31">
        <f>866</f>
        <v>866</v>
      </c>
      <c r="R156" s="32" t="s">
        <v>777</v>
      </c>
      <c r="S156" s="33">
        <f>839.04</f>
        <v>839.04</v>
      </c>
      <c r="T156" s="30">
        <f>34530</f>
        <v>34530</v>
      </c>
      <c r="U156" s="30" t="str">
        <f t="shared" si="0"/>
        <v>－</v>
      </c>
      <c r="V156" s="30">
        <f>28973932</f>
        <v>28973932</v>
      </c>
      <c r="W156" s="30" t="str">
        <f t="shared" si="1"/>
        <v>－</v>
      </c>
      <c r="X156" s="34">
        <f>19</f>
        <v>19</v>
      </c>
    </row>
    <row r="157" spans="1:24">
      <c r="A157" s="25" t="s">
        <v>1224</v>
      </c>
      <c r="B157" s="25" t="s">
        <v>429</v>
      </c>
      <c r="C157" s="25" t="s">
        <v>430</v>
      </c>
      <c r="D157" s="25" t="s">
        <v>431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497.9</f>
        <v>497.9</v>
      </c>
      <c r="L157" s="32" t="s">
        <v>1116</v>
      </c>
      <c r="M157" s="31">
        <f>538.1</f>
        <v>538.1</v>
      </c>
      <c r="N157" s="32" t="s">
        <v>1111</v>
      </c>
      <c r="O157" s="31">
        <f>486.9</f>
        <v>486.9</v>
      </c>
      <c r="P157" s="32" t="s">
        <v>684</v>
      </c>
      <c r="Q157" s="31">
        <f>503.7</f>
        <v>503.7</v>
      </c>
      <c r="R157" s="32" t="s">
        <v>777</v>
      </c>
      <c r="S157" s="33">
        <f>498.51</f>
        <v>498.51</v>
      </c>
      <c r="T157" s="30">
        <f>256970</f>
        <v>256970</v>
      </c>
      <c r="U157" s="30" t="str">
        <f t="shared" si="0"/>
        <v>－</v>
      </c>
      <c r="V157" s="30">
        <f>128989504</f>
        <v>128989504</v>
      </c>
      <c r="W157" s="30" t="str">
        <f t="shared" si="1"/>
        <v>－</v>
      </c>
      <c r="X157" s="34">
        <f>19</f>
        <v>19</v>
      </c>
    </row>
    <row r="158" spans="1:24">
      <c r="A158" s="25" t="s">
        <v>1224</v>
      </c>
      <c r="B158" s="25" t="s">
        <v>432</v>
      </c>
      <c r="C158" s="25" t="s">
        <v>433</v>
      </c>
      <c r="D158" s="25" t="s">
        <v>434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</v>
      </c>
      <c r="K158" s="31">
        <f>990</f>
        <v>990</v>
      </c>
      <c r="L158" s="32" t="s">
        <v>1116</v>
      </c>
      <c r="M158" s="31">
        <f>1105</f>
        <v>1105</v>
      </c>
      <c r="N158" s="32" t="s">
        <v>683</v>
      </c>
      <c r="O158" s="31">
        <f>950</f>
        <v>950</v>
      </c>
      <c r="P158" s="32" t="s">
        <v>674</v>
      </c>
      <c r="Q158" s="31">
        <f>1085</f>
        <v>1085</v>
      </c>
      <c r="R158" s="32" t="s">
        <v>777</v>
      </c>
      <c r="S158" s="33">
        <f>1007.11</f>
        <v>1007.11</v>
      </c>
      <c r="T158" s="30">
        <f>772695</f>
        <v>772695</v>
      </c>
      <c r="U158" s="30" t="str">
        <f t="shared" si="0"/>
        <v>－</v>
      </c>
      <c r="V158" s="30">
        <f>800247899</f>
        <v>800247899</v>
      </c>
      <c r="W158" s="30" t="str">
        <f t="shared" si="1"/>
        <v>－</v>
      </c>
      <c r="X158" s="34">
        <f>19</f>
        <v>19</v>
      </c>
    </row>
    <row r="159" spans="1:24">
      <c r="A159" s="25" t="s">
        <v>1224</v>
      </c>
      <c r="B159" s="25" t="s">
        <v>435</v>
      </c>
      <c r="C159" s="25" t="s">
        <v>436</v>
      </c>
      <c r="D159" s="25" t="s">
        <v>437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1370</f>
        <v>1370</v>
      </c>
      <c r="L159" s="32" t="s">
        <v>1116</v>
      </c>
      <c r="M159" s="31">
        <f>1465</f>
        <v>1465</v>
      </c>
      <c r="N159" s="32" t="s">
        <v>1116</v>
      </c>
      <c r="O159" s="31">
        <f>1247</f>
        <v>1247</v>
      </c>
      <c r="P159" s="32" t="s">
        <v>684</v>
      </c>
      <c r="Q159" s="31">
        <f>1330</f>
        <v>1330</v>
      </c>
      <c r="R159" s="32" t="s">
        <v>777</v>
      </c>
      <c r="S159" s="33">
        <f>1336.55</f>
        <v>1336.55</v>
      </c>
      <c r="T159" s="30">
        <f>74040</f>
        <v>74040</v>
      </c>
      <c r="U159" s="30" t="str">
        <f t="shared" si="0"/>
        <v>－</v>
      </c>
      <c r="V159" s="30">
        <f>99201290</f>
        <v>99201290</v>
      </c>
      <c r="W159" s="30" t="str">
        <f t="shared" si="1"/>
        <v>－</v>
      </c>
      <c r="X159" s="34">
        <f>19</f>
        <v>19</v>
      </c>
    </row>
    <row r="160" spans="1:24">
      <c r="A160" s="25" t="s">
        <v>1224</v>
      </c>
      <c r="B160" s="25" t="s">
        <v>438</v>
      </c>
      <c r="C160" s="25" t="s">
        <v>439</v>
      </c>
      <c r="D160" s="25" t="s">
        <v>440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7590</f>
        <v>7590</v>
      </c>
      <c r="L160" s="32" t="s">
        <v>1116</v>
      </c>
      <c r="M160" s="31">
        <f>8340</f>
        <v>8340</v>
      </c>
      <c r="N160" s="32" t="s">
        <v>1116</v>
      </c>
      <c r="O160" s="31">
        <f>6754</f>
        <v>6754</v>
      </c>
      <c r="P160" s="32" t="s">
        <v>684</v>
      </c>
      <c r="Q160" s="31">
        <f>7114</f>
        <v>7114</v>
      </c>
      <c r="R160" s="32" t="s">
        <v>777</v>
      </c>
      <c r="S160" s="33">
        <f>7224</f>
        <v>7224</v>
      </c>
      <c r="T160" s="30">
        <f>4121</f>
        <v>4121</v>
      </c>
      <c r="U160" s="30" t="str">
        <f t="shared" si="0"/>
        <v>－</v>
      </c>
      <c r="V160" s="30">
        <f>29802250</f>
        <v>29802250</v>
      </c>
      <c r="W160" s="30" t="str">
        <f t="shared" si="1"/>
        <v>－</v>
      </c>
      <c r="X160" s="34">
        <f>19</f>
        <v>19</v>
      </c>
    </row>
    <row r="161" spans="1:24">
      <c r="A161" s="25" t="s">
        <v>1224</v>
      </c>
      <c r="B161" s="25" t="s">
        <v>441</v>
      </c>
      <c r="C161" s="25" t="s">
        <v>442</v>
      </c>
      <c r="D161" s="25" t="s">
        <v>443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100</v>
      </c>
      <c r="K161" s="31">
        <f>463.1</f>
        <v>463.1</v>
      </c>
      <c r="L161" s="32" t="s">
        <v>1116</v>
      </c>
      <c r="M161" s="31">
        <f>502.6</f>
        <v>502.6</v>
      </c>
      <c r="N161" s="32" t="s">
        <v>1111</v>
      </c>
      <c r="O161" s="31">
        <f>431</f>
        <v>431</v>
      </c>
      <c r="P161" s="32" t="s">
        <v>684</v>
      </c>
      <c r="Q161" s="31">
        <f>488.4</f>
        <v>488.4</v>
      </c>
      <c r="R161" s="32" t="s">
        <v>777</v>
      </c>
      <c r="S161" s="33">
        <f>458.44</f>
        <v>458.44</v>
      </c>
      <c r="T161" s="30">
        <f>103700</f>
        <v>103700</v>
      </c>
      <c r="U161" s="30" t="str">
        <f t="shared" si="0"/>
        <v>－</v>
      </c>
      <c r="V161" s="30">
        <f>48076090</f>
        <v>48076090</v>
      </c>
      <c r="W161" s="30" t="str">
        <f t="shared" si="1"/>
        <v>－</v>
      </c>
      <c r="X161" s="34">
        <f>19</f>
        <v>19</v>
      </c>
    </row>
    <row r="162" spans="1:24">
      <c r="A162" s="25" t="s">
        <v>1224</v>
      </c>
      <c r="B162" s="25" t="s">
        <v>444</v>
      </c>
      <c r="C162" s="25" t="s">
        <v>445</v>
      </c>
      <c r="D162" s="25" t="s">
        <v>446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5579</f>
        <v>5579</v>
      </c>
      <c r="L162" s="32" t="s">
        <v>1116</v>
      </c>
      <c r="M162" s="31">
        <f>6129</f>
        <v>6129</v>
      </c>
      <c r="N162" s="32" t="s">
        <v>1111</v>
      </c>
      <c r="O162" s="31">
        <f>5213</f>
        <v>5213</v>
      </c>
      <c r="P162" s="32" t="s">
        <v>876</v>
      </c>
      <c r="Q162" s="31">
        <f>5947</f>
        <v>5947</v>
      </c>
      <c r="R162" s="32" t="s">
        <v>777</v>
      </c>
      <c r="S162" s="33">
        <f>5511.47</f>
        <v>5511.47</v>
      </c>
      <c r="T162" s="30">
        <f>79820</f>
        <v>79820</v>
      </c>
      <c r="U162" s="30" t="str">
        <f t="shared" si="0"/>
        <v>－</v>
      </c>
      <c r="V162" s="30">
        <f>441734260</f>
        <v>441734260</v>
      </c>
      <c r="W162" s="30" t="str">
        <f t="shared" si="1"/>
        <v>－</v>
      </c>
      <c r="X162" s="34">
        <f>19</f>
        <v>19</v>
      </c>
    </row>
    <row r="163" spans="1:24">
      <c r="A163" s="25" t="s">
        <v>1224</v>
      </c>
      <c r="B163" s="25" t="s">
        <v>447</v>
      </c>
      <c r="C163" s="25" t="s">
        <v>448</v>
      </c>
      <c r="D163" s="25" t="s">
        <v>449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2244.5</f>
        <v>2244.5</v>
      </c>
      <c r="L163" s="32" t="s">
        <v>1116</v>
      </c>
      <c r="M163" s="31">
        <f>2265.5</f>
        <v>2265.5</v>
      </c>
      <c r="N163" s="32" t="s">
        <v>876</v>
      </c>
      <c r="O163" s="31">
        <f>2022.5</f>
        <v>2022.5</v>
      </c>
      <c r="P163" s="32" t="s">
        <v>684</v>
      </c>
      <c r="Q163" s="31">
        <f>2211</f>
        <v>2211</v>
      </c>
      <c r="R163" s="32" t="s">
        <v>777</v>
      </c>
      <c r="S163" s="33">
        <f>2131.39</f>
        <v>2131.39</v>
      </c>
      <c r="T163" s="30">
        <f>14090</f>
        <v>14090</v>
      </c>
      <c r="U163" s="30" t="str">
        <f t="shared" si="0"/>
        <v>－</v>
      </c>
      <c r="V163" s="30">
        <f>30286975</f>
        <v>30286975</v>
      </c>
      <c r="W163" s="30" t="str">
        <f t="shared" si="1"/>
        <v>－</v>
      </c>
      <c r="X163" s="34">
        <f>19</f>
        <v>19</v>
      </c>
    </row>
    <row r="164" spans="1:24">
      <c r="A164" s="25" t="s">
        <v>1224</v>
      </c>
      <c r="B164" s="25" t="s">
        <v>450</v>
      </c>
      <c r="C164" s="25" t="s">
        <v>451</v>
      </c>
      <c r="D164" s="25" t="s">
        <v>452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3080</f>
        <v>3080</v>
      </c>
      <c r="L164" s="32" t="s">
        <v>1116</v>
      </c>
      <c r="M164" s="31">
        <f>3295</f>
        <v>3295</v>
      </c>
      <c r="N164" s="32" t="s">
        <v>676</v>
      </c>
      <c r="O164" s="31">
        <f>3065</f>
        <v>3065</v>
      </c>
      <c r="P164" s="32" t="s">
        <v>876</v>
      </c>
      <c r="Q164" s="31">
        <f>3145</f>
        <v>3145</v>
      </c>
      <c r="R164" s="32" t="s">
        <v>777</v>
      </c>
      <c r="S164" s="33">
        <f>3143.16</f>
        <v>3143.16</v>
      </c>
      <c r="T164" s="30">
        <f>243680</f>
        <v>243680</v>
      </c>
      <c r="U164" s="30" t="str">
        <f t="shared" si="0"/>
        <v>－</v>
      </c>
      <c r="V164" s="30">
        <f>769650270</f>
        <v>769650270</v>
      </c>
      <c r="W164" s="30" t="str">
        <f t="shared" si="1"/>
        <v>－</v>
      </c>
      <c r="X164" s="34">
        <f>19</f>
        <v>19</v>
      </c>
    </row>
    <row r="165" spans="1:24">
      <c r="A165" s="25" t="s">
        <v>1224</v>
      </c>
      <c r="B165" s="25" t="s">
        <v>453</v>
      </c>
      <c r="C165" s="25" t="s">
        <v>454</v>
      </c>
      <c r="D165" s="25" t="s">
        <v>455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2746</f>
        <v>2746</v>
      </c>
      <c r="L165" s="32" t="s">
        <v>1116</v>
      </c>
      <c r="M165" s="31">
        <f>2831</f>
        <v>2831</v>
      </c>
      <c r="N165" s="32" t="s">
        <v>676</v>
      </c>
      <c r="O165" s="31">
        <f>2679</f>
        <v>2679</v>
      </c>
      <c r="P165" s="32" t="s">
        <v>684</v>
      </c>
      <c r="Q165" s="31">
        <f>2777</f>
        <v>2777</v>
      </c>
      <c r="R165" s="32" t="s">
        <v>777</v>
      </c>
      <c r="S165" s="33">
        <f>2749.53</f>
        <v>2749.53</v>
      </c>
      <c r="T165" s="30">
        <f>24232</f>
        <v>24232</v>
      </c>
      <c r="U165" s="30" t="str">
        <f t="shared" si="0"/>
        <v>－</v>
      </c>
      <c r="V165" s="30">
        <f>67016377</f>
        <v>67016377</v>
      </c>
      <c r="W165" s="30" t="str">
        <f t="shared" si="1"/>
        <v>－</v>
      </c>
      <c r="X165" s="34">
        <f>19</f>
        <v>19</v>
      </c>
    </row>
    <row r="166" spans="1:24">
      <c r="A166" s="25" t="s">
        <v>1224</v>
      </c>
      <c r="B166" s="25" t="s">
        <v>456</v>
      </c>
      <c r="C166" s="25" t="s">
        <v>457</v>
      </c>
      <c r="D166" s="25" t="s">
        <v>458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3720</f>
        <v>3720</v>
      </c>
      <c r="L166" s="32" t="s">
        <v>1116</v>
      </c>
      <c r="M166" s="31">
        <f>3825</f>
        <v>3825</v>
      </c>
      <c r="N166" s="32" t="s">
        <v>676</v>
      </c>
      <c r="O166" s="31">
        <f>3530</f>
        <v>3530</v>
      </c>
      <c r="P166" s="32" t="s">
        <v>682</v>
      </c>
      <c r="Q166" s="31">
        <f>3713</f>
        <v>3713</v>
      </c>
      <c r="R166" s="32" t="s">
        <v>777</v>
      </c>
      <c r="S166" s="33">
        <f>3640.32</f>
        <v>3640.32</v>
      </c>
      <c r="T166" s="30">
        <f>21810</f>
        <v>21810</v>
      </c>
      <c r="U166" s="30" t="str">
        <f t="shared" si="0"/>
        <v>－</v>
      </c>
      <c r="V166" s="30">
        <f>80044810</f>
        <v>80044810</v>
      </c>
      <c r="W166" s="30" t="str">
        <f t="shared" si="1"/>
        <v>－</v>
      </c>
      <c r="X166" s="34">
        <f>19</f>
        <v>19</v>
      </c>
    </row>
    <row r="167" spans="1:24">
      <c r="A167" s="25" t="s">
        <v>1224</v>
      </c>
      <c r="B167" s="25" t="s">
        <v>459</v>
      </c>
      <c r="C167" s="25" t="s">
        <v>460</v>
      </c>
      <c r="D167" s="25" t="s">
        <v>979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2991</f>
        <v>2991</v>
      </c>
      <c r="L167" s="32" t="s">
        <v>1116</v>
      </c>
      <c r="M167" s="31">
        <f>3017</f>
        <v>3017</v>
      </c>
      <c r="N167" s="32" t="s">
        <v>1145</v>
      </c>
      <c r="O167" s="31">
        <f>2800</f>
        <v>2800</v>
      </c>
      <c r="P167" s="32" t="s">
        <v>684</v>
      </c>
      <c r="Q167" s="31">
        <f>2923.5</f>
        <v>2923.5</v>
      </c>
      <c r="R167" s="32" t="s">
        <v>777</v>
      </c>
      <c r="S167" s="33">
        <f>2909.39</f>
        <v>2909.39</v>
      </c>
      <c r="T167" s="30">
        <f>330540</f>
        <v>330540</v>
      </c>
      <c r="U167" s="30">
        <f>140400</f>
        <v>140400</v>
      </c>
      <c r="V167" s="30">
        <f>969063072</f>
        <v>969063072</v>
      </c>
      <c r="W167" s="30">
        <f>414800652</f>
        <v>414800652</v>
      </c>
      <c r="X167" s="34">
        <f>19</f>
        <v>19</v>
      </c>
    </row>
    <row r="168" spans="1:24">
      <c r="A168" s="25" t="s">
        <v>1224</v>
      </c>
      <c r="B168" s="25" t="s">
        <v>461</v>
      </c>
      <c r="C168" s="25" t="s">
        <v>980</v>
      </c>
      <c r="D168" s="25" t="s">
        <v>981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392.6</f>
        <v>392.6</v>
      </c>
      <c r="L168" s="32" t="s">
        <v>1116</v>
      </c>
      <c r="M168" s="31">
        <f>398.1</f>
        <v>398.1</v>
      </c>
      <c r="N168" s="32" t="s">
        <v>1145</v>
      </c>
      <c r="O168" s="31">
        <f>345.2</f>
        <v>345.2</v>
      </c>
      <c r="P168" s="32" t="s">
        <v>684</v>
      </c>
      <c r="Q168" s="31">
        <f>367.3</f>
        <v>367.3</v>
      </c>
      <c r="R168" s="32" t="s">
        <v>777</v>
      </c>
      <c r="S168" s="33">
        <f>370.38</f>
        <v>370.38</v>
      </c>
      <c r="T168" s="30">
        <f>23300790</f>
        <v>23300790</v>
      </c>
      <c r="U168" s="30">
        <f>12011660</f>
        <v>12011660</v>
      </c>
      <c r="V168" s="30">
        <f>8599166616</f>
        <v>8599166616</v>
      </c>
      <c r="W168" s="30">
        <f>4428687122</f>
        <v>4428687122</v>
      </c>
      <c r="X168" s="34">
        <f>19</f>
        <v>19</v>
      </c>
    </row>
    <row r="169" spans="1:24">
      <c r="A169" s="25" t="s">
        <v>1224</v>
      </c>
      <c r="B169" s="25" t="s">
        <v>1132</v>
      </c>
      <c r="C169" s="25" t="s">
        <v>1131</v>
      </c>
      <c r="D169" s="25" t="s">
        <v>1130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</v>
      </c>
      <c r="K169" s="31">
        <f>1999</f>
        <v>1999</v>
      </c>
      <c r="L169" s="32" t="s">
        <v>1116</v>
      </c>
      <c r="M169" s="31">
        <f>2002</f>
        <v>2002</v>
      </c>
      <c r="N169" s="32" t="s">
        <v>1145</v>
      </c>
      <c r="O169" s="31">
        <f>1802</f>
        <v>1802</v>
      </c>
      <c r="P169" s="32" t="s">
        <v>876</v>
      </c>
      <c r="Q169" s="31">
        <f>1931</f>
        <v>1931</v>
      </c>
      <c r="R169" s="32" t="s">
        <v>777</v>
      </c>
      <c r="S169" s="33">
        <f>1917.26</f>
        <v>1917.26</v>
      </c>
      <c r="T169" s="30">
        <f>29957</f>
        <v>29957</v>
      </c>
      <c r="U169" s="30" t="str">
        <f>"－"</f>
        <v>－</v>
      </c>
      <c r="V169" s="30">
        <f>58198664</f>
        <v>58198664</v>
      </c>
      <c r="W169" s="30" t="str">
        <f>"－"</f>
        <v>－</v>
      </c>
      <c r="X169" s="34">
        <f>19</f>
        <v>19</v>
      </c>
    </row>
    <row r="170" spans="1:24">
      <c r="A170" s="25" t="s">
        <v>1224</v>
      </c>
      <c r="B170" s="25" t="s">
        <v>1147</v>
      </c>
      <c r="C170" s="25" t="s">
        <v>1148</v>
      </c>
      <c r="D170" s="25" t="s">
        <v>1149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</v>
      </c>
      <c r="K170" s="31">
        <f>1053</f>
        <v>1053</v>
      </c>
      <c r="L170" s="32" t="s">
        <v>1116</v>
      </c>
      <c r="M170" s="31">
        <f>1116</f>
        <v>1116</v>
      </c>
      <c r="N170" s="32" t="s">
        <v>1111</v>
      </c>
      <c r="O170" s="31">
        <f>962</f>
        <v>962</v>
      </c>
      <c r="P170" s="32" t="s">
        <v>876</v>
      </c>
      <c r="Q170" s="31">
        <f>1076</f>
        <v>1076</v>
      </c>
      <c r="R170" s="32" t="s">
        <v>777</v>
      </c>
      <c r="S170" s="33">
        <f>1035.74</f>
        <v>1035.74</v>
      </c>
      <c r="T170" s="30">
        <f>2059172</f>
        <v>2059172</v>
      </c>
      <c r="U170" s="30">
        <f>20</f>
        <v>20</v>
      </c>
      <c r="V170" s="30">
        <f>2121886327</f>
        <v>2121886327</v>
      </c>
      <c r="W170" s="30">
        <f>19440</f>
        <v>19440</v>
      </c>
      <c r="X170" s="34">
        <f>19</f>
        <v>19</v>
      </c>
    </row>
    <row r="171" spans="1:24">
      <c r="A171" s="25" t="s">
        <v>1224</v>
      </c>
      <c r="B171" s="25" t="s">
        <v>1151</v>
      </c>
      <c r="C171" s="25" t="s">
        <v>1152</v>
      </c>
      <c r="D171" s="25" t="s">
        <v>1153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310</f>
        <v>310</v>
      </c>
      <c r="L171" s="32" t="s">
        <v>1116</v>
      </c>
      <c r="M171" s="31">
        <f>326</f>
        <v>326</v>
      </c>
      <c r="N171" s="32" t="s">
        <v>1116</v>
      </c>
      <c r="O171" s="31">
        <f>308.8</f>
        <v>308.8</v>
      </c>
      <c r="P171" s="32" t="s">
        <v>1116</v>
      </c>
      <c r="Q171" s="31">
        <f>314.5</f>
        <v>314.5</v>
      </c>
      <c r="R171" s="32" t="s">
        <v>777</v>
      </c>
      <c r="S171" s="33">
        <f>317.35</f>
        <v>317.35000000000002</v>
      </c>
      <c r="T171" s="30">
        <f>44706330</f>
        <v>44706330</v>
      </c>
      <c r="U171" s="30">
        <f>35500000</f>
        <v>35500000</v>
      </c>
      <c r="V171" s="30">
        <f>14096746382</f>
        <v>14096746382</v>
      </c>
      <c r="W171" s="30">
        <f>11200361800</f>
        <v>11200361800</v>
      </c>
      <c r="X171" s="34">
        <f>19</f>
        <v>19</v>
      </c>
    </row>
    <row r="172" spans="1:24">
      <c r="A172" s="25" t="s">
        <v>1224</v>
      </c>
      <c r="B172" s="25" t="s">
        <v>1154</v>
      </c>
      <c r="C172" s="25" t="s">
        <v>1155</v>
      </c>
      <c r="D172" s="25" t="s">
        <v>1156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305.3</f>
        <v>305.3</v>
      </c>
      <c r="L172" s="32" t="s">
        <v>1116</v>
      </c>
      <c r="M172" s="31">
        <f>311.3</f>
        <v>311.3</v>
      </c>
      <c r="N172" s="32" t="s">
        <v>684</v>
      </c>
      <c r="O172" s="31">
        <f>301.7</f>
        <v>301.7</v>
      </c>
      <c r="P172" s="32" t="s">
        <v>777</v>
      </c>
      <c r="Q172" s="31">
        <f>302.3</f>
        <v>302.3</v>
      </c>
      <c r="R172" s="32" t="s">
        <v>777</v>
      </c>
      <c r="S172" s="33">
        <f>307.28</f>
        <v>307.27999999999997</v>
      </c>
      <c r="T172" s="30">
        <f>4614670</f>
        <v>4614670</v>
      </c>
      <c r="U172" s="30" t="str">
        <f>"－"</f>
        <v>－</v>
      </c>
      <c r="V172" s="30">
        <f>1414971113</f>
        <v>1414971113</v>
      </c>
      <c r="W172" s="30" t="str">
        <f>"－"</f>
        <v>－</v>
      </c>
      <c r="X172" s="34">
        <f>19</f>
        <v>19</v>
      </c>
    </row>
    <row r="173" spans="1:24">
      <c r="A173" s="25" t="s">
        <v>1224</v>
      </c>
      <c r="B173" s="25" t="s">
        <v>1157</v>
      </c>
      <c r="C173" s="25" t="s">
        <v>1158</v>
      </c>
      <c r="D173" s="25" t="s">
        <v>1159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489</f>
        <v>489</v>
      </c>
      <c r="L173" s="32" t="s">
        <v>1116</v>
      </c>
      <c r="M173" s="31">
        <f>538.2</f>
        <v>538.20000000000005</v>
      </c>
      <c r="N173" s="32" t="s">
        <v>682</v>
      </c>
      <c r="O173" s="31">
        <f>450</f>
        <v>450</v>
      </c>
      <c r="P173" s="32" t="s">
        <v>876</v>
      </c>
      <c r="Q173" s="31">
        <f>475.7</f>
        <v>475.7</v>
      </c>
      <c r="R173" s="32" t="s">
        <v>777</v>
      </c>
      <c r="S173" s="33">
        <f>475.36</f>
        <v>475.36</v>
      </c>
      <c r="T173" s="30">
        <f>2712300</f>
        <v>2712300</v>
      </c>
      <c r="U173" s="30">
        <f>2700000</f>
        <v>2700000</v>
      </c>
      <c r="V173" s="30">
        <f>1263990908</f>
        <v>1263990908</v>
      </c>
      <c r="W173" s="30">
        <f>1258152480</f>
        <v>1258152480</v>
      </c>
      <c r="X173" s="34">
        <f>18</f>
        <v>18</v>
      </c>
    </row>
    <row r="174" spans="1:24">
      <c r="A174" s="25" t="s">
        <v>1224</v>
      </c>
      <c r="B174" s="25" t="s">
        <v>1161</v>
      </c>
      <c r="C174" s="25" t="s">
        <v>1162</v>
      </c>
      <c r="D174" s="25" t="s">
        <v>1163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525.4</f>
        <v>525.4</v>
      </c>
      <c r="L174" s="32" t="s">
        <v>1116</v>
      </c>
      <c r="M174" s="31">
        <f>533.4</f>
        <v>533.4</v>
      </c>
      <c r="N174" s="32" t="s">
        <v>679</v>
      </c>
      <c r="O174" s="31">
        <f>514.7</f>
        <v>514.70000000000005</v>
      </c>
      <c r="P174" s="32" t="s">
        <v>777</v>
      </c>
      <c r="Q174" s="31">
        <f>514.7</f>
        <v>514.70000000000005</v>
      </c>
      <c r="R174" s="32" t="s">
        <v>777</v>
      </c>
      <c r="S174" s="33">
        <f>524.42</f>
        <v>524.41999999999996</v>
      </c>
      <c r="T174" s="30">
        <f>14790</f>
        <v>14790</v>
      </c>
      <c r="U174" s="30" t="str">
        <f>"－"</f>
        <v>－</v>
      </c>
      <c r="V174" s="30">
        <f>7724813</f>
        <v>7724813</v>
      </c>
      <c r="W174" s="30" t="str">
        <f>"－"</f>
        <v>－</v>
      </c>
      <c r="X174" s="34">
        <f>19</f>
        <v>19</v>
      </c>
    </row>
    <row r="175" spans="1:24">
      <c r="A175" s="25" t="s">
        <v>1224</v>
      </c>
      <c r="B175" s="25" t="s">
        <v>1164</v>
      </c>
      <c r="C175" s="25" t="s">
        <v>1165</v>
      </c>
      <c r="D175" s="25" t="s">
        <v>1166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545.5</f>
        <v>545.5</v>
      </c>
      <c r="L175" s="32" t="s">
        <v>1116</v>
      </c>
      <c r="M175" s="31">
        <f>594.7</f>
        <v>594.70000000000005</v>
      </c>
      <c r="N175" s="32" t="s">
        <v>674</v>
      </c>
      <c r="O175" s="31">
        <f>539</f>
        <v>539</v>
      </c>
      <c r="P175" s="32" t="s">
        <v>1116</v>
      </c>
      <c r="Q175" s="31">
        <f>551.1</f>
        <v>551.1</v>
      </c>
      <c r="R175" s="32" t="s">
        <v>777</v>
      </c>
      <c r="S175" s="33">
        <f>554.93</f>
        <v>554.92999999999995</v>
      </c>
      <c r="T175" s="30">
        <f>25630</f>
        <v>25630</v>
      </c>
      <c r="U175" s="30" t="str">
        <f>"－"</f>
        <v>－</v>
      </c>
      <c r="V175" s="30">
        <f>14151166</f>
        <v>14151166</v>
      </c>
      <c r="W175" s="30" t="str">
        <f>"－"</f>
        <v>－</v>
      </c>
      <c r="X175" s="34">
        <f>18</f>
        <v>18</v>
      </c>
    </row>
    <row r="176" spans="1:24">
      <c r="A176" s="25" t="s">
        <v>1224</v>
      </c>
      <c r="B176" s="25" t="s">
        <v>1168</v>
      </c>
      <c r="C176" s="25" t="s">
        <v>1169</v>
      </c>
      <c r="D176" s="25" t="s">
        <v>1170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1012</f>
        <v>1012</v>
      </c>
      <c r="L176" s="32" t="s">
        <v>1116</v>
      </c>
      <c r="M176" s="31">
        <f>1031</f>
        <v>1031</v>
      </c>
      <c r="N176" s="32" t="s">
        <v>1111</v>
      </c>
      <c r="O176" s="31">
        <f>961</f>
        <v>961</v>
      </c>
      <c r="P176" s="32" t="s">
        <v>876</v>
      </c>
      <c r="Q176" s="31">
        <f>997</f>
        <v>997</v>
      </c>
      <c r="R176" s="32" t="s">
        <v>777</v>
      </c>
      <c r="S176" s="33">
        <f>994.84</f>
        <v>994.84</v>
      </c>
      <c r="T176" s="30">
        <f>550566</f>
        <v>550566</v>
      </c>
      <c r="U176" s="30">
        <f>86</f>
        <v>86</v>
      </c>
      <c r="V176" s="30">
        <f>548678235</f>
        <v>548678235</v>
      </c>
      <c r="W176" s="30">
        <f>83990</f>
        <v>83990</v>
      </c>
      <c r="X176" s="34">
        <f>19</f>
        <v>19</v>
      </c>
    </row>
    <row r="177" spans="1:24">
      <c r="A177" s="25" t="s">
        <v>1224</v>
      </c>
      <c r="B177" s="25" t="s">
        <v>1173</v>
      </c>
      <c r="C177" s="25" t="s">
        <v>1174</v>
      </c>
      <c r="D177" s="25" t="s">
        <v>1175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1741</f>
        <v>1741</v>
      </c>
      <c r="L177" s="32" t="s">
        <v>1116</v>
      </c>
      <c r="M177" s="31">
        <f>1745</f>
        <v>1745</v>
      </c>
      <c r="N177" s="32" t="s">
        <v>1116</v>
      </c>
      <c r="O177" s="31">
        <f>1398</f>
        <v>1398</v>
      </c>
      <c r="P177" s="32" t="s">
        <v>876</v>
      </c>
      <c r="Q177" s="31">
        <f>1595</f>
        <v>1595</v>
      </c>
      <c r="R177" s="32" t="s">
        <v>777</v>
      </c>
      <c r="S177" s="33">
        <f>1550.05</f>
        <v>1550.05</v>
      </c>
      <c r="T177" s="30">
        <f>4388016</f>
        <v>4388016</v>
      </c>
      <c r="U177" s="30">
        <f>530934</f>
        <v>530934</v>
      </c>
      <c r="V177" s="30">
        <f>6771435016</f>
        <v>6771435016</v>
      </c>
      <c r="W177" s="30">
        <f>799325247</f>
        <v>799325247</v>
      </c>
      <c r="X177" s="34">
        <f>19</f>
        <v>19</v>
      </c>
    </row>
    <row r="178" spans="1:24">
      <c r="A178" s="25" t="s">
        <v>1224</v>
      </c>
      <c r="B178" s="25" t="s">
        <v>1054</v>
      </c>
      <c r="C178" s="25" t="s">
        <v>1055</v>
      </c>
      <c r="D178" s="25" t="s">
        <v>1056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570.7</f>
        <v>570.70000000000005</v>
      </c>
      <c r="L178" s="32" t="s">
        <v>1116</v>
      </c>
      <c r="M178" s="31">
        <f>575.2</f>
        <v>575.20000000000005</v>
      </c>
      <c r="N178" s="32" t="s">
        <v>1111</v>
      </c>
      <c r="O178" s="31">
        <f>525</f>
        <v>525</v>
      </c>
      <c r="P178" s="32" t="s">
        <v>876</v>
      </c>
      <c r="Q178" s="31">
        <f>564.8</f>
        <v>564.79999999999995</v>
      </c>
      <c r="R178" s="32" t="s">
        <v>777</v>
      </c>
      <c r="S178" s="33">
        <f>558.61</f>
        <v>558.61</v>
      </c>
      <c r="T178" s="30">
        <f>758250</f>
        <v>758250</v>
      </c>
      <c r="U178" s="30" t="str">
        <f>"－"</f>
        <v>－</v>
      </c>
      <c r="V178" s="30">
        <f>422833737</f>
        <v>422833737</v>
      </c>
      <c r="W178" s="30" t="str">
        <f>"－"</f>
        <v>－</v>
      </c>
      <c r="X178" s="34">
        <f>19</f>
        <v>19</v>
      </c>
    </row>
    <row r="179" spans="1:24">
      <c r="A179" s="25" t="s">
        <v>1224</v>
      </c>
      <c r="B179" s="25" t="s">
        <v>1083</v>
      </c>
      <c r="C179" s="25" t="s">
        <v>1084</v>
      </c>
      <c r="D179" s="25" t="s">
        <v>1085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205.4</f>
        <v>205.4</v>
      </c>
      <c r="L179" s="32" t="s">
        <v>1116</v>
      </c>
      <c r="M179" s="31">
        <f>207</f>
        <v>207</v>
      </c>
      <c r="N179" s="32" t="s">
        <v>1145</v>
      </c>
      <c r="O179" s="31">
        <f>197.5</f>
        <v>197.5</v>
      </c>
      <c r="P179" s="32" t="s">
        <v>682</v>
      </c>
      <c r="Q179" s="31">
        <f>200</f>
        <v>200</v>
      </c>
      <c r="R179" s="32" t="s">
        <v>777</v>
      </c>
      <c r="S179" s="33">
        <f>201.83</f>
        <v>201.83</v>
      </c>
      <c r="T179" s="30">
        <f>35883200</f>
        <v>35883200</v>
      </c>
      <c r="U179" s="30">
        <f>33600000</f>
        <v>33600000</v>
      </c>
      <c r="V179" s="30">
        <f>7263291511</f>
        <v>7263291511</v>
      </c>
      <c r="W179" s="30">
        <f>6804818980</f>
        <v>6804818980</v>
      </c>
      <c r="X179" s="34">
        <f>19</f>
        <v>19</v>
      </c>
    </row>
    <row r="180" spans="1:24">
      <c r="A180" s="25" t="s">
        <v>1224</v>
      </c>
      <c r="B180" s="25" t="s">
        <v>1087</v>
      </c>
      <c r="C180" s="25" t="s">
        <v>1088</v>
      </c>
      <c r="D180" s="25" t="s">
        <v>1089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230.5</f>
        <v>230.5</v>
      </c>
      <c r="L180" s="32" t="s">
        <v>1116</v>
      </c>
      <c r="M180" s="31">
        <f>232.1</f>
        <v>232.1</v>
      </c>
      <c r="N180" s="32" t="s">
        <v>1145</v>
      </c>
      <c r="O180" s="31">
        <f>218.5</f>
        <v>218.5</v>
      </c>
      <c r="P180" s="32" t="s">
        <v>1123</v>
      </c>
      <c r="Q180" s="31">
        <f>223.2</f>
        <v>223.2</v>
      </c>
      <c r="R180" s="32" t="s">
        <v>777</v>
      </c>
      <c r="S180" s="33">
        <f>224.7</f>
        <v>224.7</v>
      </c>
      <c r="T180" s="30">
        <f>3129760</f>
        <v>3129760</v>
      </c>
      <c r="U180" s="30">
        <f>60</f>
        <v>60</v>
      </c>
      <c r="V180" s="30">
        <f>707085976</f>
        <v>707085976</v>
      </c>
      <c r="W180" s="30">
        <f>12522</f>
        <v>12522</v>
      </c>
      <c r="X180" s="34">
        <f>19</f>
        <v>19</v>
      </c>
    </row>
    <row r="181" spans="1:24">
      <c r="A181" s="25" t="s">
        <v>1224</v>
      </c>
      <c r="B181" s="25" t="s">
        <v>1090</v>
      </c>
      <c r="C181" s="25" t="s">
        <v>1091</v>
      </c>
      <c r="D181" s="25" t="s">
        <v>1092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231.2</f>
        <v>231.2</v>
      </c>
      <c r="L181" s="32" t="s">
        <v>1116</v>
      </c>
      <c r="M181" s="31">
        <f>233.6</f>
        <v>233.6</v>
      </c>
      <c r="N181" s="32" t="s">
        <v>1111</v>
      </c>
      <c r="O181" s="31">
        <f>217.9</f>
        <v>217.9</v>
      </c>
      <c r="P181" s="32" t="s">
        <v>684</v>
      </c>
      <c r="Q181" s="31">
        <f>226.5</f>
        <v>226.5</v>
      </c>
      <c r="R181" s="32" t="s">
        <v>777</v>
      </c>
      <c r="S181" s="33">
        <f>225.73</f>
        <v>225.73</v>
      </c>
      <c r="T181" s="30">
        <f>6458570</f>
        <v>6458570</v>
      </c>
      <c r="U181" s="30">
        <f>210</f>
        <v>210</v>
      </c>
      <c r="V181" s="30">
        <f>1458594037</f>
        <v>1458594037</v>
      </c>
      <c r="W181" s="30">
        <f>48560</f>
        <v>48560</v>
      </c>
      <c r="X181" s="34">
        <f>19</f>
        <v>19</v>
      </c>
    </row>
    <row r="182" spans="1:24">
      <c r="A182" s="25" t="s">
        <v>1224</v>
      </c>
      <c r="B182" s="25" t="s">
        <v>1093</v>
      </c>
      <c r="C182" s="25" t="s">
        <v>1094</v>
      </c>
      <c r="D182" s="25" t="s">
        <v>1095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2040</f>
        <v>2040</v>
      </c>
      <c r="L182" s="32" t="s">
        <v>1116</v>
      </c>
      <c r="M182" s="31">
        <f>2057</f>
        <v>2057</v>
      </c>
      <c r="N182" s="32" t="s">
        <v>1111</v>
      </c>
      <c r="O182" s="31">
        <f>1995</f>
        <v>1995</v>
      </c>
      <c r="P182" s="32" t="s">
        <v>682</v>
      </c>
      <c r="Q182" s="31">
        <f>2000</f>
        <v>2000</v>
      </c>
      <c r="R182" s="32" t="s">
        <v>777</v>
      </c>
      <c r="S182" s="33">
        <f>2019.84</f>
        <v>2019.84</v>
      </c>
      <c r="T182" s="30">
        <f>464716</f>
        <v>464716</v>
      </c>
      <c r="U182" s="30">
        <f>6</f>
        <v>6</v>
      </c>
      <c r="V182" s="30">
        <f>938646616</f>
        <v>938646616</v>
      </c>
      <c r="W182" s="30">
        <f>12114</f>
        <v>12114</v>
      </c>
      <c r="X182" s="34">
        <f>19</f>
        <v>19</v>
      </c>
    </row>
    <row r="183" spans="1:24">
      <c r="A183" s="25" t="s">
        <v>1224</v>
      </c>
      <c r="B183" s="25" t="s">
        <v>1096</v>
      </c>
      <c r="C183" s="25" t="s">
        <v>1097</v>
      </c>
      <c r="D183" s="25" t="s">
        <v>1098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1982</f>
        <v>1982</v>
      </c>
      <c r="L183" s="32" t="s">
        <v>1116</v>
      </c>
      <c r="M183" s="31">
        <f>2021</f>
        <v>2021</v>
      </c>
      <c r="N183" s="32" t="s">
        <v>684</v>
      </c>
      <c r="O183" s="31">
        <f>1977</f>
        <v>1977</v>
      </c>
      <c r="P183" s="32" t="s">
        <v>1116</v>
      </c>
      <c r="Q183" s="31">
        <f>1998</f>
        <v>1998</v>
      </c>
      <c r="R183" s="32" t="s">
        <v>777</v>
      </c>
      <c r="S183" s="33">
        <f>2001.11</f>
        <v>2001.11</v>
      </c>
      <c r="T183" s="30">
        <f>2665122</f>
        <v>2665122</v>
      </c>
      <c r="U183" s="30">
        <f>2500003</f>
        <v>2500003</v>
      </c>
      <c r="V183" s="30">
        <f>5319256249</f>
        <v>5319256249</v>
      </c>
      <c r="W183" s="30">
        <f>4989512781</f>
        <v>4989512781</v>
      </c>
      <c r="X183" s="34">
        <f>19</f>
        <v>19</v>
      </c>
    </row>
    <row r="184" spans="1:24">
      <c r="A184" s="25" t="s">
        <v>1224</v>
      </c>
      <c r="B184" s="25" t="s">
        <v>1099</v>
      </c>
      <c r="C184" s="25" t="s">
        <v>1100</v>
      </c>
      <c r="D184" s="25" t="s">
        <v>1101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1094</f>
        <v>1094</v>
      </c>
      <c r="L184" s="32" t="s">
        <v>1116</v>
      </c>
      <c r="M184" s="31">
        <f>1113</f>
        <v>1113</v>
      </c>
      <c r="N184" s="32" t="s">
        <v>1111</v>
      </c>
      <c r="O184" s="31">
        <f>995</f>
        <v>995</v>
      </c>
      <c r="P184" s="32" t="s">
        <v>876</v>
      </c>
      <c r="Q184" s="31">
        <f>1060</f>
        <v>1060</v>
      </c>
      <c r="R184" s="32" t="s">
        <v>777</v>
      </c>
      <c r="S184" s="33">
        <f>1046.11</f>
        <v>1046.1099999999999</v>
      </c>
      <c r="T184" s="30">
        <f>4437769</f>
        <v>4437769</v>
      </c>
      <c r="U184" s="30">
        <f>889401</f>
        <v>889401</v>
      </c>
      <c r="V184" s="30">
        <f>4633386220</f>
        <v>4633386220</v>
      </c>
      <c r="W184" s="30">
        <f>929686145</f>
        <v>929686145</v>
      </c>
      <c r="X184" s="34">
        <f>19</f>
        <v>19</v>
      </c>
    </row>
    <row r="185" spans="1:24">
      <c r="A185" s="25" t="s">
        <v>1224</v>
      </c>
      <c r="B185" s="25" t="s">
        <v>1103</v>
      </c>
      <c r="C185" s="25" t="s">
        <v>1104</v>
      </c>
      <c r="D185" s="25" t="s">
        <v>1105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1114</f>
        <v>1114</v>
      </c>
      <c r="L185" s="32" t="s">
        <v>1116</v>
      </c>
      <c r="M185" s="31">
        <f>1162</f>
        <v>1162</v>
      </c>
      <c r="N185" s="32" t="s">
        <v>676</v>
      </c>
      <c r="O185" s="31">
        <f>1095</f>
        <v>1095</v>
      </c>
      <c r="P185" s="32" t="s">
        <v>1124</v>
      </c>
      <c r="Q185" s="31">
        <f>1118</f>
        <v>1118</v>
      </c>
      <c r="R185" s="32" t="s">
        <v>777</v>
      </c>
      <c r="S185" s="33">
        <f>1123.89</f>
        <v>1123.8900000000001</v>
      </c>
      <c r="T185" s="30">
        <f>96669</f>
        <v>96669</v>
      </c>
      <c r="U185" s="30" t="str">
        <f>"－"</f>
        <v>－</v>
      </c>
      <c r="V185" s="30">
        <f>109458010</f>
        <v>109458010</v>
      </c>
      <c r="W185" s="30" t="str">
        <f>"－"</f>
        <v>－</v>
      </c>
      <c r="X185" s="34">
        <f>19</f>
        <v>19</v>
      </c>
    </row>
    <row r="186" spans="1:24">
      <c r="A186" s="25" t="s">
        <v>1224</v>
      </c>
      <c r="B186" s="25" t="s">
        <v>1106</v>
      </c>
      <c r="C186" s="25" t="s">
        <v>1107</v>
      </c>
      <c r="D186" s="25" t="s">
        <v>1108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1043</f>
        <v>1043</v>
      </c>
      <c r="L186" s="32" t="s">
        <v>1116</v>
      </c>
      <c r="M186" s="31">
        <f>1089</f>
        <v>1089</v>
      </c>
      <c r="N186" s="32" t="s">
        <v>1116</v>
      </c>
      <c r="O186" s="31">
        <f>991</f>
        <v>991</v>
      </c>
      <c r="P186" s="32" t="s">
        <v>684</v>
      </c>
      <c r="Q186" s="31">
        <f>1029</f>
        <v>1029</v>
      </c>
      <c r="R186" s="32" t="s">
        <v>777</v>
      </c>
      <c r="S186" s="33">
        <f>1019.26</f>
        <v>1019.26</v>
      </c>
      <c r="T186" s="30">
        <f>93738</f>
        <v>93738</v>
      </c>
      <c r="U186" s="30">
        <f>9</f>
        <v>9</v>
      </c>
      <c r="V186" s="30">
        <f>95090183</f>
        <v>95090183</v>
      </c>
      <c r="W186" s="30">
        <f>8747</f>
        <v>8747</v>
      </c>
      <c r="X186" s="34">
        <f>19</f>
        <v>19</v>
      </c>
    </row>
    <row r="187" spans="1:24">
      <c r="A187" s="25" t="s">
        <v>1224</v>
      </c>
      <c r="B187" s="25" t="s">
        <v>1177</v>
      </c>
      <c r="C187" s="25" t="s">
        <v>1178</v>
      </c>
      <c r="D187" s="25" t="s">
        <v>1179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10</v>
      </c>
      <c r="K187" s="31">
        <f>201.6</f>
        <v>201.6</v>
      </c>
      <c r="L187" s="32" t="s">
        <v>1116</v>
      </c>
      <c r="M187" s="31">
        <f>208</f>
        <v>208</v>
      </c>
      <c r="N187" s="32" t="s">
        <v>1111</v>
      </c>
      <c r="O187" s="31">
        <f>190.2</f>
        <v>190.2</v>
      </c>
      <c r="P187" s="32" t="s">
        <v>876</v>
      </c>
      <c r="Q187" s="31">
        <f>199.5</f>
        <v>199.5</v>
      </c>
      <c r="R187" s="32" t="s">
        <v>777</v>
      </c>
      <c r="S187" s="33">
        <f>198.33</f>
        <v>198.33</v>
      </c>
      <c r="T187" s="30">
        <f>12520150</f>
        <v>12520150</v>
      </c>
      <c r="U187" s="30">
        <f>252420</f>
        <v>252420</v>
      </c>
      <c r="V187" s="30">
        <f>2500247034</f>
        <v>2500247034</v>
      </c>
      <c r="W187" s="30">
        <f>50094689</f>
        <v>50094689</v>
      </c>
      <c r="X187" s="34">
        <f>19</f>
        <v>19</v>
      </c>
    </row>
    <row r="188" spans="1:24">
      <c r="A188" s="25" t="s">
        <v>1224</v>
      </c>
      <c r="B188" s="25" t="s">
        <v>462</v>
      </c>
      <c r="C188" s="25" t="s">
        <v>463</v>
      </c>
      <c r="D188" s="25" t="s">
        <v>464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4505</f>
        <v>4505</v>
      </c>
      <c r="L188" s="32" t="s">
        <v>1116</v>
      </c>
      <c r="M188" s="31">
        <f>6150</f>
        <v>6150</v>
      </c>
      <c r="N188" s="32" t="s">
        <v>777</v>
      </c>
      <c r="O188" s="31">
        <f>3845</f>
        <v>3845</v>
      </c>
      <c r="P188" s="32" t="s">
        <v>684</v>
      </c>
      <c r="Q188" s="31">
        <f>6150</f>
        <v>6150</v>
      </c>
      <c r="R188" s="32" t="s">
        <v>777</v>
      </c>
      <c r="S188" s="33">
        <f>4458.16</f>
        <v>4458.16</v>
      </c>
      <c r="T188" s="30">
        <f>128401</f>
        <v>128401</v>
      </c>
      <c r="U188" s="30" t="str">
        <f>"－"</f>
        <v>－</v>
      </c>
      <c r="V188" s="30">
        <f>658087450</f>
        <v>658087450</v>
      </c>
      <c r="W188" s="30" t="str">
        <f>"－"</f>
        <v>－</v>
      </c>
      <c r="X188" s="34">
        <f>19</f>
        <v>19</v>
      </c>
    </row>
    <row r="189" spans="1:24">
      <c r="A189" s="25" t="s">
        <v>1224</v>
      </c>
      <c r="B189" s="25" t="s">
        <v>466</v>
      </c>
      <c r="C189" s="25" t="s">
        <v>467</v>
      </c>
      <c r="D189" s="25" t="s">
        <v>468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8750</f>
        <v>8750</v>
      </c>
      <c r="L189" s="32" t="s">
        <v>1116</v>
      </c>
      <c r="M189" s="31">
        <f>9057</f>
        <v>9057</v>
      </c>
      <c r="N189" s="32" t="s">
        <v>876</v>
      </c>
      <c r="O189" s="31">
        <f>7058</f>
        <v>7058</v>
      </c>
      <c r="P189" s="32" t="s">
        <v>777</v>
      </c>
      <c r="Q189" s="31">
        <f>7142</f>
        <v>7142</v>
      </c>
      <c r="R189" s="32" t="s">
        <v>777</v>
      </c>
      <c r="S189" s="33">
        <f>8508.63</f>
        <v>8508.6299999999992</v>
      </c>
      <c r="T189" s="30">
        <f>9518</f>
        <v>9518</v>
      </c>
      <c r="U189" s="30" t="str">
        <f>"－"</f>
        <v>－</v>
      </c>
      <c r="V189" s="30">
        <f>75887733</f>
        <v>75887733</v>
      </c>
      <c r="W189" s="30" t="str">
        <f>"－"</f>
        <v>－</v>
      </c>
      <c r="X189" s="34">
        <f>19</f>
        <v>19</v>
      </c>
    </row>
    <row r="190" spans="1:24">
      <c r="A190" s="25" t="s">
        <v>1224</v>
      </c>
      <c r="B190" s="25" t="s">
        <v>469</v>
      </c>
      <c r="C190" s="25" t="s">
        <v>470</v>
      </c>
      <c r="D190" s="25" t="s">
        <v>471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12650</f>
        <v>12650</v>
      </c>
      <c r="L190" s="32" t="s">
        <v>1145</v>
      </c>
      <c r="M190" s="31">
        <f>12650</f>
        <v>12650</v>
      </c>
      <c r="N190" s="32" t="s">
        <v>1145</v>
      </c>
      <c r="O190" s="31">
        <f>10600</f>
        <v>10600</v>
      </c>
      <c r="P190" s="32" t="s">
        <v>684</v>
      </c>
      <c r="Q190" s="31">
        <f>11720</f>
        <v>11720</v>
      </c>
      <c r="R190" s="32" t="s">
        <v>777</v>
      </c>
      <c r="S190" s="33">
        <f>11528.33</f>
        <v>11528.33</v>
      </c>
      <c r="T190" s="30">
        <f>1601</f>
        <v>1601</v>
      </c>
      <c r="U190" s="30" t="str">
        <f>"－"</f>
        <v>－</v>
      </c>
      <c r="V190" s="30">
        <f>18758150</f>
        <v>18758150</v>
      </c>
      <c r="W190" s="30" t="str">
        <f>"－"</f>
        <v>－</v>
      </c>
      <c r="X190" s="34">
        <f>18</f>
        <v>18</v>
      </c>
    </row>
    <row r="191" spans="1:24">
      <c r="A191" s="25" t="s">
        <v>1224</v>
      </c>
      <c r="B191" s="25" t="s">
        <v>472</v>
      </c>
      <c r="C191" s="25" t="s">
        <v>473</v>
      </c>
      <c r="D191" s="25" t="s">
        <v>474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7281</f>
        <v>7281</v>
      </c>
      <c r="L191" s="32" t="s">
        <v>1116</v>
      </c>
      <c r="M191" s="31">
        <f>7789</f>
        <v>7789</v>
      </c>
      <c r="N191" s="32" t="s">
        <v>876</v>
      </c>
      <c r="O191" s="31">
        <f>7281</f>
        <v>7281</v>
      </c>
      <c r="P191" s="32" t="s">
        <v>1116</v>
      </c>
      <c r="Q191" s="31">
        <f>7702</f>
        <v>7702</v>
      </c>
      <c r="R191" s="32" t="s">
        <v>777</v>
      </c>
      <c r="S191" s="33">
        <f>7622.32</f>
        <v>7622.32</v>
      </c>
      <c r="T191" s="30">
        <f>4471</f>
        <v>4471</v>
      </c>
      <c r="U191" s="30" t="str">
        <f>"－"</f>
        <v>－</v>
      </c>
      <c r="V191" s="30">
        <f>34139542</f>
        <v>34139542</v>
      </c>
      <c r="W191" s="30" t="str">
        <f>"－"</f>
        <v>－</v>
      </c>
      <c r="X191" s="34">
        <f>19</f>
        <v>19</v>
      </c>
    </row>
    <row r="192" spans="1:24">
      <c r="A192" s="25" t="s">
        <v>1224</v>
      </c>
      <c r="B192" s="25" t="s">
        <v>475</v>
      </c>
      <c r="C192" s="25" t="s">
        <v>476</v>
      </c>
      <c r="D192" s="25" t="s">
        <v>477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56810</f>
        <v>56810</v>
      </c>
      <c r="L192" s="32" t="s">
        <v>1116</v>
      </c>
      <c r="M192" s="31">
        <f>63400</f>
        <v>63400</v>
      </c>
      <c r="N192" s="32" t="s">
        <v>1111</v>
      </c>
      <c r="O192" s="31">
        <f>52700</f>
        <v>52700</v>
      </c>
      <c r="P192" s="32" t="s">
        <v>684</v>
      </c>
      <c r="Q192" s="31">
        <f>59870</f>
        <v>59870</v>
      </c>
      <c r="R192" s="32" t="s">
        <v>777</v>
      </c>
      <c r="S192" s="33">
        <f>56377.89</f>
        <v>56377.89</v>
      </c>
      <c r="T192" s="30">
        <f>60005</f>
        <v>60005</v>
      </c>
      <c r="U192" s="30">
        <f>95</f>
        <v>95</v>
      </c>
      <c r="V192" s="30">
        <f>3513145930</f>
        <v>3513145930</v>
      </c>
      <c r="W192" s="30">
        <f>5087600</f>
        <v>5087600</v>
      </c>
      <c r="X192" s="34">
        <f>19</f>
        <v>19</v>
      </c>
    </row>
    <row r="193" spans="1:24">
      <c r="A193" s="25" t="s">
        <v>1224</v>
      </c>
      <c r="B193" s="25" t="s">
        <v>478</v>
      </c>
      <c r="C193" s="25" t="s">
        <v>479</v>
      </c>
      <c r="D193" s="25" t="s">
        <v>480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2743</f>
        <v>2743</v>
      </c>
      <c r="L193" s="32" t="s">
        <v>1116</v>
      </c>
      <c r="M193" s="31">
        <f>2857</f>
        <v>2857</v>
      </c>
      <c r="N193" s="32" t="s">
        <v>684</v>
      </c>
      <c r="O193" s="31">
        <f>2590</f>
        <v>2590</v>
      </c>
      <c r="P193" s="32" t="s">
        <v>1111</v>
      </c>
      <c r="Q193" s="31">
        <f>2674</f>
        <v>2674</v>
      </c>
      <c r="R193" s="32" t="s">
        <v>777</v>
      </c>
      <c r="S193" s="33">
        <f>2756.79</f>
        <v>2756.79</v>
      </c>
      <c r="T193" s="30">
        <f>21834</f>
        <v>21834</v>
      </c>
      <c r="U193" s="30" t="str">
        <f>"－"</f>
        <v>－</v>
      </c>
      <c r="V193" s="30">
        <f>60121767</f>
        <v>60121767</v>
      </c>
      <c r="W193" s="30" t="str">
        <f>"－"</f>
        <v>－</v>
      </c>
      <c r="X193" s="34">
        <f>19</f>
        <v>19</v>
      </c>
    </row>
    <row r="194" spans="1:24">
      <c r="A194" s="25" t="s">
        <v>1224</v>
      </c>
      <c r="B194" s="25" t="s">
        <v>481</v>
      </c>
      <c r="C194" s="25" t="s">
        <v>482</v>
      </c>
      <c r="D194" s="25" t="s">
        <v>483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1734</f>
        <v>1734</v>
      </c>
      <c r="L194" s="32" t="s">
        <v>1116</v>
      </c>
      <c r="M194" s="31">
        <f>1774</f>
        <v>1774</v>
      </c>
      <c r="N194" s="32" t="s">
        <v>1145</v>
      </c>
      <c r="O194" s="31">
        <f>1367</f>
        <v>1367</v>
      </c>
      <c r="P194" s="32" t="s">
        <v>684</v>
      </c>
      <c r="Q194" s="31">
        <f>1504</f>
        <v>1504</v>
      </c>
      <c r="R194" s="32" t="s">
        <v>777</v>
      </c>
      <c r="S194" s="33">
        <f>1548.21</f>
        <v>1548.21</v>
      </c>
      <c r="T194" s="30">
        <f>10467563</f>
        <v>10467563</v>
      </c>
      <c r="U194" s="30">
        <f>71004</f>
        <v>71004</v>
      </c>
      <c r="V194" s="30">
        <f>16258592840</f>
        <v>16258592840</v>
      </c>
      <c r="W194" s="30">
        <f>110430370</f>
        <v>110430370</v>
      </c>
      <c r="X194" s="34">
        <f>19</f>
        <v>19</v>
      </c>
    </row>
    <row r="195" spans="1:24">
      <c r="A195" s="25" t="s">
        <v>1224</v>
      </c>
      <c r="B195" s="25" t="s">
        <v>484</v>
      </c>
      <c r="C195" s="25" t="s">
        <v>485</v>
      </c>
      <c r="D195" s="25" t="s">
        <v>486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1016</f>
        <v>1016</v>
      </c>
      <c r="L195" s="32" t="s">
        <v>1116</v>
      </c>
      <c r="M195" s="31">
        <f>1138</f>
        <v>1138</v>
      </c>
      <c r="N195" s="32" t="s">
        <v>684</v>
      </c>
      <c r="O195" s="31">
        <f>999</f>
        <v>999</v>
      </c>
      <c r="P195" s="32" t="s">
        <v>1145</v>
      </c>
      <c r="Q195" s="31">
        <f>1072</f>
        <v>1072</v>
      </c>
      <c r="R195" s="32" t="s">
        <v>777</v>
      </c>
      <c r="S195" s="33">
        <f>1070.11</f>
        <v>1070.1099999999999</v>
      </c>
      <c r="T195" s="30">
        <f>1414655</f>
        <v>1414655</v>
      </c>
      <c r="U195" s="30" t="str">
        <f>"－"</f>
        <v>－</v>
      </c>
      <c r="V195" s="30">
        <f>1519829739</f>
        <v>1519829739</v>
      </c>
      <c r="W195" s="30" t="str">
        <f>"－"</f>
        <v>－</v>
      </c>
      <c r="X195" s="34">
        <f>19</f>
        <v>19</v>
      </c>
    </row>
    <row r="196" spans="1:24">
      <c r="A196" s="25" t="s">
        <v>1224</v>
      </c>
      <c r="B196" s="25" t="s">
        <v>487</v>
      </c>
      <c r="C196" s="25" t="s">
        <v>488</v>
      </c>
      <c r="D196" s="25" t="s">
        <v>489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30370</f>
        <v>30370</v>
      </c>
      <c r="L196" s="32" t="s">
        <v>1116</v>
      </c>
      <c r="M196" s="31">
        <f>31260</f>
        <v>31260</v>
      </c>
      <c r="N196" s="32" t="s">
        <v>777</v>
      </c>
      <c r="O196" s="31">
        <f>28650</f>
        <v>28650</v>
      </c>
      <c r="P196" s="32" t="s">
        <v>876</v>
      </c>
      <c r="Q196" s="31">
        <f>31160</f>
        <v>31160</v>
      </c>
      <c r="R196" s="32" t="s">
        <v>777</v>
      </c>
      <c r="S196" s="33">
        <f>30142.11</f>
        <v>30142.11</v>
      </c>
      <c r="T196" s="30">
        <f>23369</f>
        <v>23369</v>
      </c>
      <c r="U196" s="30">
        <f>1</f>
        <v>1</v>
      </c>
      <c r="V196" s="30">
        <f>714599125</f>
        <v>714599125</v>
      </c>
      <c r="W196" s="30">
        <f>29675</f>
        <v>29675</v>
      </c>
      <c r="X196" s="34">
        <f>19</f>
        <v>19</v>
      </c>
    </row>
    <row r="197" spans="1:24">
      <c r="A197" s="25" t="s">
        <v>1224</v>
      </c>
      <c r="B197" s="25" t="s">
        <v>490</v>
      </c>
      <c r="C197" s="25" t="s">
        <v>491</v>
      </c>
      <c r="D197" s="25" t="s">
        <v>492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2437</f>
        <v>2437</v>
      </c>
      <c r="L197" s="32" t="s">
        <v>1116</v>
      </c>
      <c r="M197" s="31">
        <f>2514</f>
        <v>2514</v>
      </c>
      <c r="N197" s="32" t="s">
        <v>876</v>
      </c>
      <c r="O197" s="31">
        <f>2388</f>
        <v>2388</v>
      </c>
      <c r="P197" s="32" t="s">
        <v>777</v>
      </c>
      <c r="Q197" s="31">
        <f>2393</f>
        <v>2393</v>
      </c>
      <c r="R197" s="32" t="s">
        <v>777</v>
      </c>
      <c r="S197" s="33">
        <f>2443.58</f>
        <v>2443.58</v>
      </c>
      <c r="T197" s="30">
        <f>451387</f>
        <v>451387</v>
      </c>
      <c r="U197" s="30">
        <f>170</f>
        <v>170</v>
      </c>
      <c r="V197" s="30">
        <f>1105182661</f>
        <v>1105182661</v>
      </c>
      <c r="W197" s="30">
        <f>419410</f>
        <v>419410</v>
      </c>
      <c r="X197" s="34">
        <f>19</f>
        <v>19</v>
      </c>
    </row>
    <row r="198" spans="1:24">
      <c r="A198" s="25" t="s">
        <v>1224</v>
      </c>
      <c r="B198" s="25" t="s">
        <v>493</v>
      </c>
      <c r="C198" s="25" t="s">
        <v>1057</v>
      </c>
      <c r="D198" s="25" t="s">
        <v>1058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7114</f>
        <v>7114</v>
      </c>
      <c r="L198" s="32" t="s">
        <v>1116</v>
      </c>
      <c r="M198" s="31">
        <f>7213</f>
        <v>7213</v>
      </c>
      <c r="N198" s="32" t="s">
        <v>1145</v>
      </c>
      <c r="O198" s="31">
        <f>6576</f>
        <v>6576</v>
      </c>
      <c r="P198" s="32" t="s">
        <v>876</v>
      </c>
      <c r="Q198" s="31">
        <f>6880</f>
        <v>6880</v>
      </c>
      <c r="R198" s="32" t="s">
        <v>777</v>
      </c>
      <c r="S198" s="33">
        <f>6911.26</f>
        <v>6911.26</v>
      </c>
      <c r="T198" s="30">
        <f>55009</f>
        <v>55009</v>
      </c>
      <c r="U198" s="30" t="str">
        <f>"－"</f>
        <v>－</v>
      </c>
      <c r="V198" s="30">
        <f>382893176</f>
        <v>382893176</v>
      </c>
      <c r="W198" s="30" t="str">
        <f>"－"</f>
        <v>－</v>
      </c>
      <c r="X198" s="34">
        <f>19</f>
        <v>19</v>
      </c>
    </row>
    <row r="199" spans="1:24">
      <c r="A199" s="25" t="s">
        <v>1224</v>
      </c>
      <c r="B199" s="25" t="s">
        <v>494</v>
      </c>
      <c r="C199" s="25" t="s">
        <v>495</v>
      </c>
      <c r="D199" s="25" t="s">
        <v>496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19755</f>
        <v>19755</v>
      </c>
      <c r="L199" s="32" t="s">
        <v>1116</v>
      </c>
      <c r="M199" s="31">
        <f>20790</f>
        <v>20790</v>
      </c>
      <c r="N199" s="32" t="s">
        <v>679</v>
      </c>
      <c r="O199" s="31">
        <f>19045</f>
        <v>19045</v>
      </c>
      <c r="P199" s="32" t="s">
        <v>674</v>
      </c>
      <c r="Q199" s="31">
        <f>20335</f>
        <v>20335</v>
      </c>
      <c r="R199" s="32" t="s">
        <v>777</v>
      </c>
      <c r="S199" s="33">
        <f>19911.67</f>
        <v>19911.669999999998</v>
      </c>
      <c r="T199" s="30">
        <f>424</f>
        <v>424</v>
      </c>
      <c r="U199" s="30" t="str">
        <f>"－"</f>
        <v>－</v>
      </c>
      <c r="V199" s="30">
        <f>8473490</f>
        <v>8473490</v>
      </c>
      <c r="W199" s="30" t="str">
        <f>"－"</f>
        <v>－</v>
      </c>
      <c r="X199" s="34">
        <f>18</f>
        <v>18</v>
      </c>
    </row>
    <row r="200" spans="1:24">
      <c r="A200" s="25" t="s">
        <v>1224</v>
      </c>
      <c r="B200" s="25" t="s">
        <v>497</v>
      </c>
      <c r="C200" s="25" t="s">
        <v>498</v>
      </c>
      <c r="D200" s="25" t="s">
        <v>499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29010</f>
        <v>29010</v>
      </c>
      <c r="L200" s="32" t="s">
        <v>1116</v>
      </c>
      <c r="M200" s="31">
        <f>29615</f>
        <v>29615</v>
      </c>
      <c r="N200" s="32" t="s">
        <v>1111</v>
      </c>
      <c r="O200" s="31">
        <f>27760</f>
        <v>27760</v>
      </c>
      <c r="P200" s="32" t="s">
        <v>876</v>
      </c>
      <c r="Q200" s="31">
        <f>29010</f>
        <v>29010</v>
      </c>
      <c r="R200" s="32" t="s">
        <v>777</v>
      </c>
      <c r="S200" s="33">
        <f>28594.21</f>
        <v>28594.21</v>
      </c>
      <c r="T200" s="30">
        <f>10892</f>
        <v>10892</v>
      </c>
      <c r="U200" s="30">
        <f>50</f>
        <v>50</v>
      </c>
      <c r="V200" s="30">
        <f>312891990</f>
        <v>312891990</v>
      </c>
      <c r="W200" s="30">
        <f>1449500</f>
        <v>1449500</v>
      </c>
      <c r="X200" s="34">
        <f>19</f>
        <v>19</v>
      </c>
    </row>
    <row r="201" spans="1:24">
      <c r="A201" s="25" t="s">
        <v>1224</v>
      </c>
      <c r="B201" s="25" t="s">
        <v>500</v>
      </c>
      <c r="C201" s="25" t="s">
        <v>501</v>
      </c>
      <c r="D201" s="25" t="s">
        <v>502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17205</f>
        <v>17205</v>
      </c>
      <c r="L201" s="32" t="s">
        <v>1145</v>
      </c>
      <c r="M201" s="31">
        <f>18105</f>
        <v>18105</v>
      </c>
      <c r="N201" s="32" t="s">
        <v>1118</v>
      </c>
      <c r="O201" s="31">
        <f>16505</f>
        <v>16505</v>
      </c>
      <c r="P201" s="32" t="s">
        <v>674</v>
      </c>
      <c r="Q201" s="31">
        <f>17545</f>
        <v>17545</v>
      </c>
      <c r="R201" s="32" t="s">
        <v>676</v>
      </c>
      <c r="S201" s="33">
        <f>17315.45</f>
        <v>17315.45</v>
      </c>
      <c r="T201" s="30">
        <f>86</f>
        <v>86</v>
      </c>
      <c r="U201" s="30" t="str">
        <f>"－"</f>
        <v>－</v>
      </c>
      <c r="V201" s="30">
        <f>1492140</f>
        <v>1492140</v>
      </c>
      <c r="W201" s="30" t="str">
        <f>"－"</f>
        <v>－</v>
      </c>
      <c r="X201" s="34">
        <f>11</f>
        <v>11</v>
      </c>
    </row>
    <row r="202" spans="1:24">
      <c r="A202" s="25" t="s">
        <v>1224</v>
      </c>
      <c r="B202" s="25" t="s">
        <v>503</v>
      </c>
      <c r="C202" s="25" t="s">
        <v>504</v>
      </c>
      <c r="D202" s="25" t="s">
        <v>505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34190</f>
        <v>34190</v>
      </c>
      <c r="L202" s="32" t="s">
        <v>1116</v>
      </c>
      <c r="M202" s="31">
        <f>36660</f>
        <v>36660</v>
      </c>
      <c r="N202" s="32" t="s">
        <v>1111</v>
      </c>
      <c r="O202" s="31">
        <f>31260</f>
        <v>31260</v>
      </c>
      <c r="P202" s="32" t="s">
        <v>876</v>
      </c>
      <c r="Q202" s="31">
        <f>35430</f>
        <v>35430</v>
      </c>
      <c r="R202" s="32" t="s">
        <v>777</v>
      </c>
      <c r="S202" s="33">
        <f>34067.89</f>
        <v>34067.89</v>
      </c>
      <c r="T202" s="30">
        <f>58924</f>
        <v>58924</v>
      </c>
      <c r="U202" s="30">
        <f>68</f>
        <v>68</v>
      </c>
      <c r="V202" s="30">
        <f>2044083170</f>
        <v>2044083170</v>
      </c>
      <c r="W202" s="30">
        <f>2294490</f>
        <v>2294490</v>
      </c>
      <c r="X202" s="34">
        <f>19</f>
        <v>19</v>
      </c>
    </row>
    <row r="203" spans="1:24">
      <c r="A203" s="25" t="s">
        <v>1224</v>
      </c>
      <c r="B203" s="25" t="s">
        <v>506</v>
      </c>
      <c r="C203" s="25" t="s">
        <v>507</v>
      </c>
      <c r="D203" s="25" t="s">
        <v>508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3270</f>
        <v>3270</v>
      </c>
      <c r="L203" s="32" t="s">
        <v>1116</v>
      </c>
      <c r="M203" s="31">
        <f>3390</f>
        <v>3390</v>
      </c>
      <c r="N203" s="32" t="s">
        <v>684</v>
      </c>
      <c r="O203" s="31">
        <f>3145</f>
        <v>3145</v>
      </c>
      <c r="P203" s="32" t="s">
        <v>682</v>
      </c>
      <c r="Q203" s="31">
        <f>3145</f>
        <v>3145</v>
      </c>
      <c r="R203" s="32" t="s">
        <v>777</v>
      </c>
      <c r="S203" s="33">
        <f>3233.68</f>
        <v>3233.68</v>
      </c>
      <c r="T203" s="30">
        <f>8318</f>
        <v>8318</v>
      </c>
      <c r="U203" s="30" t="str">
        <f>"－"</f>
        <v>－</v>
      </c>
      <c r="V203" s="30">
        <f>27130110</f>
        <v>27130110</v>
      </c>
      <c r="W203" s="30" t="str">
        <f>"－"</f>
        <v>－</v>
      </c>
      <c r="X203" s="34">
        <f>19</f>
        <v>19</v>
      </c>
    </row>
    <row r="204" spans="1:24">
      <c r="A204" s="25" t="s">
        <v>1224</v>
      </c>
      <c r="B204" s="25" t="s">
        <v>509</v>
      </c>
      <c r="C204" s="25" t="s">
        <v>510</v>
      </c>
      <c r="D204" s="25" t="s">
        <v>511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29170</f>
        <v>29170</v>
      </c>
      <c r="L204" s="32" t="s">
        <v>1116</v>
      </c>
      <c r="M204" s="31">
        <f>29345</f>
        <v>29345</v>
      </c>
      <c r="N204" s="32" t="s">
        <v>1145</v>
      </c>
      <c r="O204" s="31">
        <f>26260</f>
        <v>26260</v>
      </c>
      <c r="P204" s="32" t="s">
        <v>684</v>
      </c>
      <c r="Q204" s="31">
        <f>28140</f>
        <v>28140</v>
      </c>
      <c r="R204" s="32" t="s">
        <v>777</v>
      </c>
      <c r="S204" s="33">
        <f>27810</f>
        <v>27810</v>
      </c>
      <c r="T204" s="30">
        <f>661</f>
        <v>661</v>
      </c>
      <c r="U204" s="30" t="str">
        <f>"－"</f>
        <v>－</v>
      </c>
      <c r="V204" s="30">
        <f>18581965</f>
        <v>18581965</v>
      </c>
      <c r="W204" s="30" t="str">
        <f>"－"</f>
        <v>－</v>
      </c>
      <c r="X204" s="34">
        <f>18</f>
        <v>18</v>
      </c>
    </row>
    <row r="205" spans="1:24">
      <c r="A205" s="25" t="s">
        <v>1224</v>
      </c>
      <c r="B205" s="25" t="s">
        <v>512</v>
      </c>
      <c r="C205" s="25" t="s">
        <v>513</v>
      </c>
      <c r="D205" s="25" t="s">
        <v>514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19135</f>
        <v>19135</v>
      </c>
      <c r="L205" s="32" t="s">
        <v>1116</v>
      </c>
      <c r="M205" s="31">
        <f>19700</f>
        <v>19700</v>
      </c>
      <c r="N205" s="32" t="s">
        <v>1111</v>
      </c>
      <c r="O205" s="31">
        <f>18115</f>
        <v>18115</v>
      </c>
      <c r="P205" s="32" t="s">
        <v>876</v>
      </c>
      <c r="Q205" s="31">
        <f>19700</f>
        <v>19700</v>
      </c>
      <c r="R205" s="32" t="s">
        <v>1111</v>
      </c>
      <c r="S205" s="33">
        <f>18820</f>
        <v>18820</v>
      </c>
      <c r="T205" s="30">
        <f>109</f>
        <v>109</v>
      </c>
      <c r="U205" s="30" t="str">
        <f>"－"</f>
        <v>－</v>
      </c>
      <c r="V205" s="30">
        <f>2093120</f>
        <v>2093120</v>
      </c>
      <c r="W205" s="30" t="str">
        <f>"－"</f>
        <v>－</v>
      </c>
      <c r="X205" s="34">
        <f>8</f>
        <v>8</v>
      </c>
    </row>
    <row r="206" spans="1:24">
      <c r="A206" s="25" t="s">
        <v>1224</v>
      </c>
      <c r="B206" s="25" t="s">
        <v>515</v>
      </c>
      <c r="C206" s="25" t="s">
        <v>516</v>
      </c>
      <c r="D206" s="25" t="s">
        <v>517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32780</f>
        <v>32780</v>
      </c>
      <c r="L206" s="32" t="s">
        <v>1116</v>
      </c>
      <c r="M206" s="31">
        <f>33000</f>
        <v>33000</v>
      </c>
      <c r="N206" s="32" t="s">
        <v>1111</v>
      </c>
      <c r="O206" s="31">
        <f>30850</f>
        <v>30850</v>
      </c>
      <c r="P206" s="32" t="s">
        <v>684</v>
      </c>
      <c r="Q206" s="31">
        <f>31950</f>
        <v>31950</v>
      </c>
      <c r="R206" s="32" t="s">
        <v>777</v>
      </c>
      <c r="S206" s="33">
        <f>31904.38</f>
        <v>31904.38</v>
      </c>
      <c r="T206" s="30">
        <f>1740</f>
        <v>1740</v>
      </c>
      <c r="U206" s="30" t="str">
        <f>"－"</f>
        <v>－</v>
      </c>
      <c r="V206" s="30">
        <f>55628600</f>
        <v>55628600</v>
      </c>
      <c r="W206" s="30" t="str">
        <f>"－"</f>
        <v>－</v>
      </c>
      <c r="X206" s="34">
        <f>16</f>
        <v>16</v>
      </c>
    </row>
    <row r="207" spans="1:24">
      <c r="A207" s="25" t="s">
        <v>1224</v>
      </c>
      <c r="B207" s="25" t="s">
        <v>518</v>
      </c>
      <c r="C207" s="25" t="s">
        <v>519</v>
      </c>
      <c r="D207" s="25" t="s">
        <v>520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18510</f>
        <v>18510</v>
      </c>
      <c r="L207" s="32" t="s">
        <v>876</v>
      </c>
      <c r="M207" s="31">
        <f>18510</f>
        <v>18510</v>
      </c>
      <c r="N207" s="32" t="s">
        <v>876</v>
      </c>
      <c r="O207" s="31">
        <f>18510</f>
        <v>18510</v>
      </c>
      <c r="P207" s="32" t="s">
        <v>876</v>
      </c>
      <c r="Q207" s="31">
        <f>18510</f>
        <v>18510</v>
      </c>
      <c r="R207" s="32" t="s">
        <v>876</v>
      </c>
      <c r="S207" s="33">
        <f>18510</f>
        <v>18510</v>
      </c>
      <c r="T207" s="30">
        <f>20</f>
        <v>20</v>
      </c>
      <c r="U207" s="30" t="str">
        <f>"－"</f>
        <v>－</v>
      </c>
      <c r="V207" s="30">
        <f>370200</f>
        <v>370200</v>
      </c>
      <c r="W207" s="30" t="str">
        <f>"－"</f>
        <v>－</v>
      </c>
      <c r="X207" s="34">
        <f>1</f>
        <v>1</v>
      </c>
    </row>
    <row r="208" spans="1:24">
      <c r="A208" s="25" t="s">
        <v>1224</v>
      </c>
      <c r="B208" s="25" t="s">
        <v>521</v>
      </c>
      <c r="C208" s="25" t="s">
        <v>522</v>
      </c>
      <c r="D208" s="25" t="s">
        <v>523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19295</f>
        <v>19295</v>
      </c>
      <c r="L208" s="32" t="s">
        <v>1116</v>
      </c>
      <c r="M208" s="31">
        <f>19845</f>
        <v>19845</v>
      </c>
      <c r="N208" s="32" t="s">
        <v>1111</v>
      </c>
      <c r="O208" s="31">
        <f>18025</f>
        <v>18025</v>
      </c>
      <c r="P208" s="32" t="s">
        <v>684</v>
      </c>
      <c r="Q208" s="31">
        <f>19845</f>
        <v>19845</v>
      </c>
      <c r="R208" s="32" t="s">
        <v>1111</v>
      </c>
      <c r="S208" s="33">
        <f>18769.38</f>
        <v>18769.38</v>
      </c>
      <c r="T208" s="30">
        <f>3429</f>
        <v>3429</v>
      </c>
      <c r="U208" s="30">
        <f>3000</f>
        <v>3000</v>
      </c>
      <c r="V208" s="30">
        <f>64905640</f>
        <v>64905640</v>
      </c>
      <c r="W208" s="30">
        <f>56703000</f>
        <v>56703000</v>
      </c>
      <c r="X208" s="34">
        <f>16</f>
        <v>16</v>
      </c>
    </row>
    <row r="209" spans="1:24">
      <c r="A209" s="25" t="s">
        <v>1224</v>
      </c>
      <c r="B209" s="25" t="s">
        <v>524</v>
      </c>
      <c r="C209" s="25" t="s">
        <v>525</v>
      </c>
      <c r="D209" s="25" t="s">
        <v>526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23245</f>
        <v>23245</v>
      </c>
      <c r="L209" s="32" t="s">
        <v>1116</v>
      </c>
      <c r="M209" s="31">
        <f>23685</f>
        <v>23685</v>
      </c>
      <c r="N209" s="32" t="s">
        <v>1111</v>
      </c>
      <c r="O209" s="31">
        <f>21310</f>
        <v>21310</v>
      </c>
      <c r="P209" s="32" t="s">
        <v>678</v>
      </c>
      <c r="Q209" s="31">
        <f>23685</f>
        <v>23685</v>
      </c>
      <c r="R209" s="32" t="s">
        <v>1111</v>
      </c>
      <c r="S209" s="33">
        <f>22710</f>
        <v>22710</v>
      </c>
      <c r="T209" s="30">
        <f>9</f>
        <v>9</v>
      </c>
      <c r="U209" s="30" t="str">
        <f t="shared" ref="U209:U214" si="2">"－"</f>
        <v>－</v>
      </c>
      <c r="V209" s="30">
        <f>205230</f>
        <v>205230</v>
      </c>
      <c r="W209" s="30" t="str">
        <f t="shared" ref="W209:W214" si="3">"－"</f>
        <v>－</v>
      </c>
      <c r="X209" s="34">
        <f>5</f>
        <v>5</v>
      </c>
    </row>
    <row r="210" spans="1:24">
      <c r="A210" s="25" t="s">
        <v>1224</v>
      </c>
      <c r="B210" s="25" t="s">
        <v>527</v>
      </c>
      <c r="C210" s="25" t="s">
        <v>528</v>
      </c>
      <c r="D210" s="25" t="s">
        <v>529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17895</f>
        <v>17895</v>
      </c>
      <c r="L210" s="32" t="s">
        <v>1118</v>
      </c>
      <c r="M210" s="31">
        <f>17895</f>
        <v>17895</v>
      </c>
      <c r="N210" s="32" t="s">
        <v>1118</v>
      </c>
      <c r="O210" s="31">
        <f>17895</f>
        <v>17895</v>
      </c>
      <c r="P210" s="32" t="s">
        <v>1118</v>
      </c>
      <c r="Q210" s="31">
        <f>17895</f>
        <v>17895</v>
      </c>
      <c r="R210" s="32" t="s">
        <v>1118</v>
      </c>
      <c r="S210" s="33">
        <f>17895</f>
        <v>17895</v>
      </c>
      <c r="T210" s="30">
        <f>15</f>
        <v>15</v>
      </c>
      <c r="U210" s="30" t="str">
        <f t="shared" si="2"/>
        <v>－</v>
      </c>
      <c r="V210" s="30">
        <f>268425</f>
        <v>268425</v>
      </c>
      <c r="W210" s="30" t="str">
        <f t="shared" si="3"/>
        <v>－</v>
      </c>
      <c r="X210" s="34">
        <f>1</f>
        <v>1</v>
      </c>
    </row>
    <row r="211" spans="1:24">
      <c r="A211" s="25" t="s">
        <v>1224</v>
      </c>
      <c r="B211" s="25" t="s">
        <v>530</v>
      </c>
      <c r="C211" s="25" t="s">
        <v>531</v>
      </c>
      <c r="D211" s="25" t="s">
        <v>532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12070</f>
        <v>12070</v>
      </c>
      <c r="L211" s="32" t="s">
        <v>1116</v>
      </c>
      <c r="M211" s="31">
        <f>12255</f>
        <v>12255</v>
      </c>
      <c r="N211" s="32" t="s">
        <v>1111</v>
      </c>
      <c r="O211" s="31">
        <f>11560</f>
        <v>11560</v>
      </c>
      <c r="P211" s="32" t="s">
        <v>684</v>
      </c>
      <c r="Q211" s="31">
        <f>11990</f>
        <v>11990</v>
      </c>
      <c r="R211" s="32" t="s">
        <v>777</v>
      </c>
      <c r="S211" s="33">
        <f>11891.82</f>
        <v>11891.82</v>
      </c>
      <c r="T211" s="30">
        <f>1726</f>
        <v>1726</v>
      </c>
      <c r="U211" s="30" t="str">
        <f t="shared" si="2"/>
        <v>－</v>
      </c>
      <c r="V211" s="30">
        <f>20316930</f>
        <v>20316930</v>
      </c>
      <c r="W211" s="30" t="str">
        <f t="shared" si="3"/>
        <v>－</v>
      </c>
      <c r="X211" s="34">
        <f>11</f>
        <v>11</v>
      </c>
    </row>
    <row r="212" spans="1:24">
      <c r="A212" s="25" t="s">
        <v>1224</v>
      </c>
      <c r="B212" s="25" t="s">
        <v>533</v>
      </c>
      <c r="C212" s="25" t="s">
        <v>534</v>
      </c>
      <c r="D212" s="25" t="s">
        <v>535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14670</f>
        <v>14670</v>
      </c>
      <c r="L212" s="32" t="s">
        <v>1116</v>
      </c>
      <c r="M212" s="31">
        <f>14850</f>
        <v>14850</v>
      </c>
      <c r="N212" s="32" t="s">
        <v>1111</v>
      </c>
      <c r="O212" s="31">
        <f>13520</f>
        <v>13520</v>
      </c>
      <c r="P212" s="32" t="s">
        <v>876</v>
      </c>
      <c r="Q212" s="31">
        <f>14395</f>
        <v>14395</v>
      </c>
      <c r="R212" s="32" t="s">
        <v>777</v>
      </c>
      <c r="S212" s="33">
        <f>14225</f>
        <v>14225</v>
      </c>
      <c r="T212" s="30">
        <f>11873</f>
        <v>11873</v>
      </c>
      <c r="U212" s="30" t="str">
        <f t="shared" si="2"/>
        <v>－</v>
      </c>
      <c r="V212" s="30">
        <f>168372805</f>
        <v>168372805</v>
      </c>
      <c r="W212" s="30" t="str">
        <f t="shared" si="3"/>
        <v>－</v>
      </c>
      <c r="X212" s="34">
        <f>19</f>
        <v>19</v>
      </c>
    </row>
    <row r="213" spans="1:24">
      <c r="A213" s="25" t="s">
        <v>1224</v>
      </c>
      <c r="B213" s="25" t="s">
        <v>536</v>
      </c>
      <c r="C213" s="25" t="s">
        <v>537</v>
      </c>
      <c r="D213" s="25" t="s">
        <v>538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12830</f>
        <v>12830</v>
      </c>
      <c r="L213" s="32" t="s">
        <v>1116</v>
      </c>
      <c r="M213" s="31">
        <f>13075</f>
        <v>13075</v>
      </c>
      <c r="N213" s="32" t="s">
        <v>1111</v>
      </c>
      <c r="O213" s="31">
        <f>12210</f>
        <v>12210</v>
      </c>
      <c r="P213" s="32" t="s">
        <v>684</v>
      </c>
      <c r="Q213" s="31">
        <f>12825</f>
        <v>12825</v>
      </c>
      <c r="R213" s="32" t="s">
        <v>777</v>
      </c>
      <c r="S213" s="33">
        <f>12621</f>
        <v>12621</v>
      </c>
      <c r="T213" s="30">
        <f>1460</f>
        <v>1460</v>
      </c>
      <c r="U213" s="30" t="str">
        <f t="shared" si="2"/>
        <v>－</v>
      </c>
      <c r="V213" s="30">
        <f>18315875</f>
        <v>18315875</v>
      </c>
      <c r="W213" s="30" t="str">
        <f t="shared" si="3"/>
        <v>－</v>
      </c>
      <c r="X213" s="34">
        <f>15</f>
        <v>15</v>
      </c>
    </row>
    <row r="214" spans="1:24">
      <c r="A214" s="25" t="s">
        <v>1224</v>
      </c>
      <c r="B214" s="25" t="s">
        <v>783</v>
      </c>
      <c r="C214" s="25" t="s">
        <v>784</v>
      </c>
      <c r="D214" s="25" t="s">
        <v>785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13510</f>
        <v>13510</v>
      </c>
      <c r="L214" s="32" t="s">
        <v>1111</v>
      </c>
      <c r="M214" s="31">
        <f>13625</f>
        <v>13625</v>
      </c>
      <c r="N214" s="32" t="s">
        <v>1111</v>
      </c>
      <c r="O214" s="31">
        <f>13120</f>
        <v>13120</v>
      </c>
      <c r="P214" s="32" t="s">
        <v>777</v>
      </c>
      <c r="Q214" s="31">
        <f>13120</f>
        <v>13120</v>
      </c>
      <c r="R214" s="32" t="s">
        <v>777</v>
      </c>
      <c r="S214" s="33">
        <f>13372.5</f>
        <v>13372.5</v>
      </c>
      <c r="T214" s="30">
        <f>3</f>
        <v>3</v>
      </c>
      <c r="U214" s="30" t="str">
        <f t="shared" si="2"/>
        <v>－</v>
      </c>
      <c r="V214" s="30">
        <f>40255</f>
        <v>40255</v>
      </c>
      <c r="W214" s="30" t="str">
        <f t="shared" si="3"/>
        <v>－</v>
      </c>
      <c r="X214" s="34">
        <f>2</f>
        <v>2</v>
      </c>
    </row>
    <row r="215" spans="1:24">
      <c r="A215" s="25" t="s">
        <v>1224</v>
      </c>
      <c r="B215" s="25" t="s">
        <v>991</v>
      </c>
      <c r="C215" s="25" t="s">
        <v>992</v>
      </c>
      <c r="D215" s="25" t="s">
        <v>993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1170</f>
        <v>1170</v>
      </c>
      <c r="L215" s="32" t="s">
        <v>1116</v>
      </c>
      <c r="M215" s="31">
        <f>1185</f>
        <v>1185</v>
      </c>
      <c r="N215" s="32" t="s">
        <v>1145</v>
      </c>
      <c r="O215" s="31">
        <f>1054</f>
        <v>1054</v>
      </c>
      <c r="P215" s="32" t="s">
        <v>682</v>
      </c>
      <c r="Q215" s="31">
        <f>1112</f>
        <v>1112</v>
      </c>
      <c r="R215" s="32" t="s">
        <v>777</v>
      </c>
      <c r="S215" s="33">
        <f>1109.21</f>
        <v>1109.21</v>
      </c>
      <c r="T215" s="30">
        <f>1862974</f>
        <v>1862974</v>
      </c>
      <c r="U215" s="30">
        <f>44800</f>
        <v>44800</v>
      </c>
      <c r="V215" s="30">
        <f>2077340319</f>
        <v>2077340319</v>
      </c>
      <c r="W215" s="30">
        <f>48602400</f>
        <v>48602400</v>
      </c>
      <c r="X215" s="34">
        <f>19</f>
        <v>19</v>
      </c>
    </row>
    <row r="216" spans="1:24">
      <c r="A216" s="25" t="s">
        <v>1224</v>
      </c>
      <c r="B216" s="25" t="s">
        <v>994</v>
      </c>
      <c r="C216" s="25" t="s">
        <v>995</v>
      </c>
      <c r="D216" s="25" t="s">
        <v>996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1178</f>
        <v>1178</v>
      </c>
      <c r="L216" s="32" t="s">
        <v>1116</v>
      </c>
      <c r="M216" s="31">
        <f>1191</f>
        <v>1191</v>
      </c>
      <c r="N216" s="32" t="s">
        <v>1111</v>
      </c>
      <c r="O216" s="31">
        <f>1089</f>
        <v>1089</v>
      </c>
      <c r="P216" s="32" t="s">
        <v>684</v>
      </c>
      <c r="Q216" s="31">
        <f>1163</f>
        <v>1163</v>
      </c>
      <c r="R216" s="32" t="s">
        <v>777</v>
      </c>
      <c r="S216" s="33">
        <f>1138.79</f>
        <v>1138.79</v>
      </c>
      <c r="T216" s="30">
        <f>47789</f>
        <v>47789</v>
      </c>
      <c r="U216" s="30" t="str">
        <f>"－"</f>
        <v>－</v>
      </c>
      <c r="V216" s="30">
        <f>54616469</f>
        <v>54616469</v>
      </c>
      <c r="W216" s="30" t="str">
        <f>"－"</f>
        <v>－</v>
      </c>
      <c r="X216" s="34">
        <f>19</f>
        <v>19</v>
      </c>
    </row>
    <row r="217" spans="1:24">
      <c r="A217" s="25" t="s">
        <v>1224</v>
      </c>
      <c r="B217" s="25" t="s">
        <v>997</v>
      </c>
      <c r="C217" s="25" t="s">
        <v>998</v>
      </c>
      <c r="D217" s="25" t="s">
        <v>999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1046</f>
        <v>1046</v>
      </c>
      <c r="L217" s="32" t="s">
        <v>1116</v>
      </c>
      <c r="M217" s="31">
        <f>1067</f>
        <v>1067</v>
      </c>
      <c r="N217" s="32" t="s">
        <v>1111</v>
      </c>
      <c r="O217" s="31">
        <f>977</f>
        <v>977</v>
      </c>
      <c r="P217" s="32" t="s">
        <v>777</v>
      </c>
      <c r="Q217" s="31">
        <f>1049</f>
        <v>1049</v>
      </c>
      <c r="R217" s="32" t="s">
        <v>777</v>
      </c>
      <c r="S217" s="33">
        <f>1024.53</f>
        <v>1024.53</v>
      </c>
      <c r="T217" s="30">
        <f>8916</f>
        <v>8916</v>
      </c>
      <c r="U217" s="30" t="str">
        <f>"－"</f>
        <v>－</v>
      </c>
      <c r="V217" s="30">
        <f>9162146</f>
        <v>9162146</v>
      </c>
      <c r="W217" s="30" t="str">
        <f>"－"</f>
        <v>－</v>
      </c>
      <c r="X217" s="34">
        <f>19</f>
        <v>19</v>
      </c>
    </row>
    <row r="218" spans="1:24">
      <c r="A218" s="25" t="s">
        <v>1224</v>
      </c>
      <c r="B218" s="25" t="s">
        <v>1000</v>
      </c>
      <c r="C218" s="25" t="s">
        <v>1001</v>
      </c>
      <c r="D218" s="25" t="s">
        <v>1002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2269</f>
        <v>2269</v>
      </c>
      <c r="L218" s="32" t="s">
        <v>1116</v>
      </c>
      <c r="M218" s="31">
        <f>2285</f>
        <v>2285</v>
      </c>
      <c r="N218" s="32" t="s">
        <v>1111</v>
      </c>
      <c r="O218" s="31">
        <f>2040</f>
        <v>2040</v>
      </c>
      <c r="P218" s="32" t="s">
        <v>876</v>
      </c>
      <c r="Q218" s="31">
        <f>2187</f>
        <v>2187</v>
      </c>
      <c r="R218" s="32" t="s">
        <v>777</v>
      </c>
      <c r="S218" s="33">
        <f>2151.74</f>
        <v>2151.7399999999998</v>
      </c>
      <c r="T218" s="30">
        <f>221652</f>
        <v>221652</v>
      </c>
      <c r="U218" s="30" t="str">
        <f>"－"</f>
        <v>－</v>
      </c>
      <c r="V218" s="30">
        <f>479665466</f>
        <v>479665466</v>
      </c>
      <c r="W218" s="30" t="str">
        <f>"－"</f>
        <v>－</v>
      </c>
      <c r="X218" s="34">
        <f>19</f>
        <v>19</v>
      </c>
    </row>
    <row r="219" spans="1:24">
      <c r="A219" s="25" t="s">
        <v>1224</v>
      </c>
      <c r="B219" s="25" t="s">
        <v>1003</v>
      </c>
      <c r="C219" s="25" t="s">
        <v>1004</v>
      </c>
      <c r="D219" s="25" t="s">
        <v>1005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2299</f>
        <v>2299</v>
      </c>
      <c r="L219" s="32" t="s">
        <v>1116</v>
      </c>
      <c r="M219" s="31">
        <f>2311</f>
        <v>2311</v>
      </c>
      <c r="N219" s="32" t="s">
        <v>1111</v>
      </c>
      <c r="O219" s="31">
        <f>2130</f>
        <v>2130</v>
      </c>
      <c r="P219" s="32" t="s">
        <v>684</v>
      </c>
      <c r="Q219" s="31">
        <f>2252</f>
        <v>2252</v>
      </c>
      <c r="R219" s="32" t="s">
        <v>777</v>
      </c>
      <c r="S219" s="33">
        <f>2223.74</f>
        <v>2223.7399999999998</v>
      </c>
      <c r="T219" s="30">
        <f>857882</f>
        <v>857882</v>
      </c>
      <c r="U219" s="30">
        <f>166514</f>
        <v>166514</v>
      </c>
      <c r="V219" s="30">
        <f>1918084014</f>
        <v>1918084014</v>
      </c>
      <c r="W219" s="30">
        <f>380089562</f>
        <v>380089562</v>
      </c>
      <c r="X219" s="34">
        <f>19</f>
        <v>19</v>
      </c>
    </row>
    <row r="220" spans="1:24">
      <c r="A220" s="25" t="s">
        <v>1224</v>
      </c>
      <c r="B220" s="25" t="s">
        <v>1006</v>
      </c>
      <c r="C220" s="25" t="s">
        <v>1007</v>
      </c>
      <c r="D220" s="25" t="s">
        <v>1008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570.9</f>
        <v>570.9</v>
      </c>
      <c r="L220" s="32" t="s">
        <v>1116</v>
      </c>
      <c r="M220" s="31">
        <f>573.5</f>
        <v>573.5</v>
      </c>
      <c r="N220" s="32" t="s">
        <v>1111</v>
      </c>
      <c r="O220" s="31">
        <f>520.6</f>
        <v>520.6</v>
      </c>
      <c r="P220" s="32" t="s">
        <v>684</v>
      </c>
      <c r="Q220" s="31">
        <f>557.9</f>
        <v>557.9</v>
      </c>
      <c r="R220" s="32" t="s">
        <v>777</v>
      </c>
      <c r="S220" s="33">
        <f>547.97</f>
        <v>547.97</v>
      </c>
      <c r="T220" s="30">
        <f>1384050</f>
        <v>1384050</v>
      </c>
      <c r="U220" s="30">
        <f>144930</f>
        <v>144930</v>
      </c>
      <c r="V220" s="30">
        <f>754483315</f>
        <v>754483315</v>
      </c>
      <c r="W220" s="30">
        <f>80069401</f>
        <v>80069401</v>
      </c>
      <c r="X220" s="34">
        <f>19</f>
        <v>19</v>
      </c>
    </row>
    <row r="221" spans="1:24">
      <c r="A221" s="25" t="s">
        <v>1224</v>
      </c>
      <c r="B221" s="25" t="s">
        <v>1009</v>
      </c>
      <c r="C221" s="25" t="s">
        <v>1010</v>
      </c>
      <c r="D221" s="25" t="s">
        <v>1011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2373</f>
        <v>2373</v>
      </c>
      <c r="L221" s="32" t="s">
        <v>675</v>
      </c>
      <c r="M221" s="31">
        <f>2474</f>
        <v>2474</v>
      </c>
      <c r="N221" s="32" t="s">
        <v>676</v>
      </c>
      <c r="O221" s="31">
        <f>2353.5</f>
        <v>2353.5</v>
      </c>
      <c r="P221" s="32" t="s">
        <v>759</v>
      </c>
      <c r="Q221" s="31">
        <f>2463</f>
        <v>2463</v>
      </c>
      <c r="R221" s="32" t="s">
        <v>777</v>
      </c>
      <c r="S221" s="33">
        <f>2410</f>
        <v>2410</v>
      </c>
      <c r="T221" s="30">
        <f>131530</f>
        <v>131530</v>
      </c>
      <c r="U221" s="30" t="str">
        <f t="shared" ref="U221:U227" si="4">"－"</f>
        <v>－</v>
      </c>
      <c r="V221" s="30">
        <f>322905245</f>
        <v>322905245</v>
      </c>
      <c r="W221" s="30" t="str">
        <f t="shared" ref="W221:W227" si="5">"－"</f>
        <v>－</v>
      </c>
      <c r="X221" s="34">
        <f>7</f>
        <v>7</v>
      </c>
    </row>
    <row r="222" spans="1:24">
      <c r="A222" s="25" t="s">
        <v>1224</v>
      </c>
      <c r="B222" s="25" t="s">
        <v>1012</v>
      </c>
      <c r="C222" s="25" t="s">
        <v>1013</v>
      </c>
      <c r="D222" s="25" t="s">
        <v>1014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2466</f>
        <v>2466</v>
      </c>
      <c r="L222" s="32" t="s">
        <v>1116</v>
      </c>
      <c r="M222" s="31">
        <f>2579.5</f>
        <v>2579.5</v>
      </c>
      <c r="N222" s="32" t="s">
        <v>777</v>
      </c>
      <c r="O222" s="31">
        <f>2327</f>
        <v>2327</v>
      </c>
      <c r="P222" s="32" t="s">
        <v>876</v>
      </c>
      <c r="Q222" s="31">
        <f>2513.5</f>
        <v>2513.5</v>
      </c>
      <c r="R222" s="32" t="s">
        <v>777</v>
      </c>
      <c r="S222" s="33">
        <f>2441.64</f>
        <v>2441.64</v>
      </c>
      <c r="T222" s="30">
        <f>345320</f>
        <v>345320</v>
      </c>
      <c r="U222" s="30" t="str">
        <f t="shared" si="4"/>
        <v>－</v>
      </c>
      <c r="V222" s="30">
        <f>852211010</f>
        <v>852211010</v>
      </c>
      <c r="W222" s="30" t="str">
        <f t="shared" si="5"/>
        <v>－</v>
      </c>
      <c r="X222" s="34">
        <f>18</f>
        <v>18</v>
      </c>
    </row>
    <row r="223" spans="1:24">
      <c r="A223" s="25" t="s">
        <v>1224</v>
      </c>
      <c r="B223" s="25" t="s">
        <v>1015</v>
      </c>
      <c r="C223" s="25" t="s">
        <v>1016</v>
      </c>
      <c r="D223" s="25" t="s">
        <v>1017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 t="str">
        <f>"－"</f>
        <v>－</v>
      </c>
      <c r="L223" s="32"/>
      <c r="M223" s="31" t="str">
        <f>"－"</f>
        <v>－</v>
      </c>
      <c r="N223" s="32"/>
      <c r="O223" s="31" t="str">
        <f>"－"</f>
        <v>－</v>
      </c>
      <c r="P223" s="32"/>
      <c r="Q223" s="31" t="str">
        <f>"－"</f>
        <v>－</v>
      </c>
      <c r="R223" s="32"/>
      <c r="S223" s="33" t="str">
        <f>"－"</f>
        <v>－</v>
      </c>
      <c r="T223" s="30" t="str">
        <f>"－"</f>
        <v>－</v>
      </c>
      <c r="U223" s="30" t="str">
        <f t="shared" si="4"/>
        <v>－</v>
      </c>
      <c r="V223" s="30" t="str">
        <f>"－"</f>
        <v>－</v>
      </c>
      <c r="W223" s="30" t="str">
        <f t="shared" si="5"/>
        <v>－</v>
      </c>
      <c r="X223" s="34" t="str">
        <f>"－"</f>
        <v>－</v>
      </c>
    </row>
    <row r="224" spans="1:24">
      <c r="A224" s="25" t="s">
        <v>1224</v>
      </c>
      <c r="B224" s="25" t="s">
        <v>1018</v>
      </c>
      <c r="C224" s="25" t="s">
        <v>1019</v>
      </c>
      <c r="D224" s="25" t="s">
        <v>1020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2248.5</f>
        <v>2248.5</v>
      </c>
      <c r="L224" s="32" t="s">
        <v>675</v>
      </c>
      <c r="M224" s="31">
        <f>2345</f>
        <v>2345</v>
      </c>
      <c r="N224" s="32" t="s">
        <v>777</v>
      </c>
      <c r="O224" s="31">
        <f>2248.5</f>
        <v>2248.5</v>
      </c>
      <c r="P224" s="32" t="s">
        <v>675</v>
      </c>
      <c r="Q224" s="31">
        <f>2345</f>
        <v>2345</v>
      </c>
      <c r="R224" s="32" t="s">
        <v>777</v>
      </c>
      <c r="S224" s="33">
        <f>2280.75</f>
        <v>2280.75</v>
      </c>
      <c r="T224" s="30">
        <f>100010</f>
        <v>100010</v>
      </c>
      <c r="U224" s="30" t="str">
        <f t="shared" si="4"/>
        <v>－</v>
      </c>
      <c r="V224" s="30">
        <f>225430295</f>
        <v>225430295</v>
      </c>
      <c r="W224" s="30" t="str">
        <f t="shared" si="5"/>
        <v>－</v>
      </c>
      <c r="X224" s="34">
        <f>4</f>
        <v>4</v>
      </c>
    </row>
    <row r="225" spans="1:24">
      <c r="A225" s="25" t="s">
        <v>1224</v>
      </c>
      <c r="B225" s="25" t="s">
        <v>1021</v>
      </c>
      <c r="C225" s="25" t="s">
        <v>1022</v>
      </c>
      <c r="D225" s="25" t="s">
        <v>1023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5112</f>
        <v>5112</v>
      </c>
      <c r="L225" s="32" t="s">
        <v>674</v>
      </c>
      <c r="M225" s="31">
        <f>5140</f>
        <v>5140</v>
      </c>
      <c r="N225" s="32" t="s">
        <v>1118</v>
      </c>
      <c r="O225" s="31">
        <f>5105</f>
        <v>5105</v>
      </c>
      <c r="P225" s="32" t="s">
        <v>676</v>
      </c>
      <c r="Q225" s="31">
        <f>5105</f>
        <v>5105</v>
      </c>
      <c r="R225" s="32" t="s">
        <v>676</v>
      </c>
      <c r="S225" s="33">
        <f>5119</f>
        <v>5119</v>
      </c>
      <c r="T225" s="30">
        <f>40050</f>
        <v>40050</v>
      </c>
      <c r="U225" s="30" t="str">
        <f t="shared" si="4"/>
        <v>－</v>
      </c>
      <c r="V225" s="30">
        <f>205155390</f>
        <v>205155390</v>
      </c>
      <c r="W225" s="30" t="str">
        <f t="shared" si="5"/>
        <v>－</v>
      </c>
      <c r="X225" s="34">
        <f>3</f>
        <v>3</v>
      </c>
    </row>
    <row r="226" spans="1:24">
      <c r="A226" s="25" t="s">
        <v>1224</v>
      </c>
      <c r="B226" s="25" t="s">
        <v>1024</v>
      </c>
      <c r="C226" s="25" t="s">
        <v>1025</v>
      </c>
      <c r="D226" s="25" t="s">
        <v>1026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 t="str">
        <f>"－"</f>
        <v>－</v>
      </c>
      <c r="L226" s="32"/>
      <c r="M226" s="31" t="str">
        <f>"－"</f>
        <v>－</v>
      </c>
      <c r="N226" s="32"/>
      <c r="O226" s="31" t="str">
        <f>"－"</f>
        <v>－</v>
      </c>
      <c r="P226" s="32"/>
      <c r="Q226" s="31" t="str">
        <f>"－"</f>
        <v>－</v>
      </c>
      <c r="R226" s="32"/>
      <c r="S226" s="33" t="str">
        <f>"－"</f>
        <v>－</v>
      </c>
      <c r="T226" s="30" t="str">
        <f>"－"</f>
        <v>－</v>
      </c>
      <c r="U226" s="30" t="str">
        <f t="shared" si="4"/>
        <v>－</v>
      </c>
      <c r="V226" s="30" t="str">
        <f>"－"</f>
        <v>－</v>
      </c>
      <c r="W226" s="30" t="str">
        <f t="shared" si="5"/>
        <v>－</v>
      </c>
      <c r="X226" s="34" t="str">
        <f>"－"</f>
        <v>－</v>
      </c>
    </row>
    <row r="227" spans="1:24">
      <c r="A227" s="25" t="s">
        <v>1224</v>
      </c>
      <c r="B227" s="25" t="s">
        <v>1027</v>
      </c>
      <c r="C227" s="25" t="s">
        <v>1028</v>
      </c>
      <c r="D227" s="25" t="s">
        <v>1029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 t="str">
        <f>"－"</f>
        <v>－</v>
      </c>
      <c r="L227" s="32"/>
      <c r="M227" s="31" t="str">
        <f>"－"</f>
        <v>－</v>
      </c>
      <c r="N227" s="32"/>
      <c r="O227" s="31" t="str">
        <f>"－"</f>
        <v>－</v>
      </c>
      <c r="P227" s="32"/>
      <c r="Q227" s="31" t="str">
        <f>"－"</f>
        <v>－</v>
      </c>
      <c r="R227" s="32"/>
      <c r="S227" s="33" t="str">
        <f>"－"</f>
        <v>－</v>
      </c>
      <c r="T227" s="30" t="str">
        <f>"－"</f>
        <v>－</v>
      </c>
      <c r="U227" s="30" t="str">
        <f t="shared" si="4"/>
        <v>－</v>
      </c>
      <c r="V227" s="30" t="str">
        <f>"－"</f>
        <v>－</v>
      </c>
      <c r="W227" s="30" t="str">
        <f t="shared" si="5"/>
        <v>－</v>
      </c>
      <c r="X227" s="34" t="str">
        <f>"－"</f>
        <v>－</v>
      </c>
    </row>
    <row r="228" spans="1:24">
      <c r="A228" s="25" t="s">
        <v>1224</v>
      </c>
      <c r="B228" s="25" t="s">
        <v>1053</v>
      </c>
      <c r="C228" s="25" t="s">
        <v>1052</v>
      </c>
      <c r="D228" s="25" t="s">
        <v>1051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4917</f>
        <v>4917</v>
      </c>
      <c r="L228" s="32" t="s">
        <v>1116</v>
      </c>
      <c r="M228" s="31">
        <f>4938</f>
        <v>4938</v>
      </c>
      <c r="N228" s="32" t="s">
        <v>676</v>
      </c>
      <c r="O228" s="31">
        <f>4717</f>
        <v>4717</v>
      </c>
      <c r="P228" s="32" t="s">
        <v>876</v>
      </c>
      <c r="Q228" s="31">
        <f>4785</f>
        <v>4785</v>
      </c>
      <c r="R228" s="32" t="s">
        <v>777</v>
      </c>
      <c r="S228" s="33">
        <f>4812.33</f>
        <v>4812.33</v>
      </c>
      <c r="T228" s="30">
        <f>487800</f>
        <v>487800</v>
      </c>
      <c r="U228" s="30">
        <f>484010</f>
        <v>484010</v>
      </c>
      <c r="V228" s="30">
        <f>2379324217</f>
        <v>2379324217</v>
      </c>
      <c r="W228" s="30">
        <f>2361045827</f>
        <v>2361045827</v>
      </c>
      <c r="X228" s="34">
        <f>18</f>
        <v>18</v>
      </c>
    </row>
    <row r="229" spans="1:24">
      <c r="A229" s="25" t="s">
        <v>1224</v>
      </c>
      <c r="B229" s="25" t="s">
        <v>1050</v>
      </c>
      <c r="C229" s="25" t="s">
        <v>1049</v>
      </c>
      <c r="D229" s="25" t="s">
        <v>1048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950</f>
        <v>950</v>
      </c>
      <c r="L229" s="32" t="s">
        <v>1116</v>
      </c>
      <c r="M229" s="31">
        <f>967</f>
        <v>967</v>
      </c>
      <c r="N229" s="32" t="s">
        <v>677</v>
      </c>
      <c r="O229" s="31">
        <f>942</f>
        <v>942</v>
      </c>
      <c r="P229" s="32" t="s">
        <v>679</v>
      </c>
      <c r="Q229" s="31">
        <f>961</f>
        <v>961</v>
      </c>
      <c r="R229" s="32" t="s">
        <v>777</v>
      </c>
      <c r="S229" s="33">
        <f>952.95</f>
        <v>952.95</v>
      </c>
      <c r="T229" s="30">
        <f>33564</f>
        <v>33564</v>
      </c>
      <c r="U229" s="30" t="str">
        <f>"－"</f>
        <v>－</v>
      </c>
      <c r="V229" s="30">
        <f>31956930</f>
        <v>31956930</v>
      </c>
      <c r="W229" s="30" t="str">
        <f>"－"</f>
        <v>－</v>
      </c>
      <c r="X229" s="34">
        <f>19</f>
        <v>19</v>
      </c>
    </row>
    <row r="230" spans="1:24">
      <c r="A230" s="25" t="s">
        <v>1224</v>
      </c>
      <c r="B230" s="25" t="s">
        <v>1047</v>
      </c>
      <c r="C230" s="25" t="s">
        <v>1046</v>
      </c>
      <c r="D230" s="25" t="s">
        <v>1045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1168</f>
        <v>1168</v>
      </c>
      <c r="L230" s="32" t="s">
        <v>1116</v>
      </c>
      <c r="M230" s="31">
        <f>1207</f>
        <v>1207</v>
      </c>
      <c r="N230" s="32" t="s">
        <v>676</v>
      </c>
      <c r="O230" s="31">
        <f>1122</f>
        <v>1122</v>
      </c>
      <c r="P230" s="32" t="s">
        <v>876</v>
      </c>
      <c r="Q230" s="31">
        <f>1184</f>
        <v>1184</v>
      </c>
      <c r="R230" s="32" t="s">
        <v>777</v>
      </c>
      <c r="S230" s="33">
        <f>1168.16</f>
        <v>1168.1600000000001</v>
      </c>
      <c r="T230" s="30">
        <f>86501</f>
        <v>86501</v>
      </c>
      <c r="U230" s="30" t="str">
        <f>"－"</f>
        <v>－</v>
      </c>
      <c r="V230" s="30">
        <f>100439545</f>
        <v>100439545</v>
      </c>
      <c r="W230" s="30" t="str">
        <f>"－"</f>
        <v>－</v>
      </c>
      <c r="X230" s="34">
        <f>19</f>
        <v>19</v>
      </c>
    </row>
    <row r="231" spans="1:24">
      <c r="A231" s="25" t="s">
        <v>1224</v>
      </c>
      <c r="B231" s="25" t="s">
        <v>1044</v>
      </c>
      <c r="C231" s="25" t="s">
        <v>1043</v>
      </c>
      <c r="D231" s="25" t="s">
        <v>1042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967</f>
        <v>967</v>
      </c>
      <c r="L231" s="32" t="s">
        <v>1116</v>
      </c>
      <c r="M231" s="31">
        <f>987</f>
        <v>987</v>
      </c>
      <c r="N231" s="32" t="s">
        <v>1111</v>
      </c>
      <c r="O231" s="31">
        <f>960</f>
        <v>960</v>
      </c>
      <c r="P231" s="32" t="s">
        <v>674</v>
      </c>
      <c r="Q231" s="31">
        <f>964</f>
        <v>964</v>
      </c>
      <c r="R231" s="32" t="s">
        <v>777</v>
      </c>
      <c r="S231" s="33">
        <f>972</f>
        <v>972</v>
      </c>
      <c r="T231" s="30">
        <f>143637</f>
        <v>143637</v>
      </c>
      <c r="U231" s="30" t="str">
        <f>"－"</f>
        <v>－</v>
      </c>
      <c r="V231" s="30">
        <f>140446051</f>
        <v>140446051</v>
      </c>
      <c r="W231" s="30" t="str">
        <f>"－"</f>
        <v>－</v>
      </c>
      <c r="X231" s="34">
        <f>19</f>
        <v>19</v>
      </c>
    </row>
    <row r="232" spans="1:24">
      <c r="A232" s="25" t="s">
        <v>1224</v>
      </c>
      <c r="B232" s="25" t="s">
        <v>1041</v>
      </c>
      <c r="C232" s="25" t="s">
        <v>1040</v>
      </c>
      <c r="D232" s="25" t="s">
        <v>1039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1010</f>
        <v>1010</v>
      </c>
      <c r="L232" s="32" t="s">
        <v>1116</v>
      </c>
      <c r="M232" s="31">
        <f>1030</f>
        <v>1030</v>
      </c>
      <c r="N232" s="32" t="s">
        <v>683</v>
      </c>
      <c r="O232" s="31">
        <f>979</f>
        <v>979</v>
      </c>
      <c r="P232" s="32" t="s">
        <v>682</v>
      </c>
      <c r="Q232" s="31">
        <f>980</f>
        <v>980</v>
      </c>
      <c r="R232" s="32" t="s">
        <v>777</v>
      </c>
      <c r="S232" s="33">
        <f>996.11</f>
        <v>996.11</v>
      </c>
      <c r="T232" s="30">
        <f>144101</f>
        <v>144101</v>
      </c>
      <c r="U232" s="30" t="str">
        <f>"－"</f>
        <v>－</v>
      </c>
      <c r="V232" s="30">
        <f>143150546</f>
        <v>143150546</v>
      </c>
      <c r="W232" s="30" t="str">
        <f>"－"</f>
        <v>－</v>
      </c>
      <c r="X232" s="34">
        <f>19</f>
        <v>19</v>
      </c>
    </row>
    <row r="233" spans="1:24">
      <c r="A233" s="25" t="s">
        <v>1224</v>
      </c>
      <c r="B233" s="25" t="s">
        <v>1038</v>
      </c>
      <c r="C233" s="25" t="s">
        <v>1037</v>
      </c>
      <c r="D233" s="25" t="s">
        <v>1036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999</f>
        <v>999</v>
      </c>
      <c r="L233" s="32" t="s">
        <v>1116</v>
      </c>
      <c r="M233" s="31">
        <f>999</f>
        <v>999</v>
      </c>
      <c r="N233" s="32" t="s">
        <v>1116</v>
      </c>
      <c r="O233" s="31">
        <f>965</f>
        <v>965</v>
      </c>
      <c r="P233" s="32" t="s">
        <v>684</v>
      </c>
      <c r="Q233" s="31">
        <f>978</f>
        <v>978</v>
      </c>
      <c r="R233" s="32" t="s">
        <v>777</v>
      </c>
      <c r="S233" s="33">
        <f>980.47</f>
        <v>980.47</v>
      </c>
      <c r="T233" s="30">
        <f>40563</f>
        <v>40563</v>
      </c>
      <c r="U233" s="30">
        <f>3</f>
        <v>3</v>
      </c>
      <c r="V233" s="30">
        <f>39803960</f>
        <v>39803960</v>
      </c>
      <c r="W233" s="30">
        <f>2940</f>
        <v>2940</v>
      </c>
      <c r="X233" s="34">
        <f>19</f>
        <v>19</v>
      </c>
    </row>
    <row r="234" spans="1:24">
      <c r="A234" s="25" t="s">
        <v>1224</v>
      </c>
      <c r="B234" s="25" t="s">
        <v>1181</v>
      </c>
      <c r="C234" s="25" t="s">
        <v>1182</v>
      </c>
      <c r="D234" s="25" t="s">
        <v>1183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1525</f>
        <v>1525</v>
      </c>
      <c r="L234" s="32" t="s">
        <v>1116</v>
      </c>
      <c r="M234" s="31">
        <f>1570</f>
        <v>1570</v>
      </c>
      <c r="N234" s="32" t="s">
        <v>1145</v>
      </c>
      <c r="O234" s="31">
        <f>1471</f>
        <v>1471</v>
      </c>
      <c r="P234" s="32" t="s">
        <v>684</v>
      </c>
      <c r="Q234" s="31">
        <f>1476</f>
        <v>1476</v>
      </c>
      <c r="R234" s="32" t="s">
        <v>777</v>
      </c>
      <c r="S234" s="33">
        <f>1492.26</f>
        <v>1492.26</v>
      </c>
      <c r="T234" s="30">
        <f>207839</f>
        <v>207839</v>
      </c>
      <c r="U234" s="30">
        <f>114130</f>
        <v>114130</v>
      </c>
      <c r="V234" s="30">
        <f>310343581</f>
        <v>310343581</v>
      </c>
      <c r="W234" s="30">
        <f>170533717</f>
        <v>170533717</v>
      </c>
      <c r="X234" s="34">
        <f>19</f>
        <v>19</v>
      </c>
    </row>
    <row r="235" spans="1:24">
      <c r="A235" s="25" t="s">
        <v>1224</v>
      </c>
      <c r="B235" s="25" t="s">
        <v>1200</v>
      </c>
      <c r="C235" s="25" t="s">
        <v>1199</v>
      </c>
      <c r="D235" s="25" t="s">
        <v>1198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161.6</f>
        <v>161.6</v>
      </c>
      <c r="L235" s="32" t="s">
        <v>1116</v>
      </c>
      <c r="M235" s="31">
        <f>161.6</f>
        <v>161.6</v>
      </c>
      <c r="N235" s="32" t="s">
        <v>1116</v>
      </c>
      <c r="O235" s="31">
        <f>126</f>
        <v>126</v>
      </c>
      <c r="P235" s="32" t="s">
        <v>876</v>
      </c>
      <c r="Q235" s="31">
        <f>146.5</f>
        <v>146.5</v>
      </c>
      <c r="R235" s="32" t="s">
        <v>777</v>
      </c>
      <c r="S235" s="33">
        <f>141.98</f>
        <v>141.97999999999999</v>
      </c>
      <c r="T235" s="30">
        <f>10946410</f>
        <v>10946410</v>
      </c>
      <c r="U235" s="30">
        <f>4600010</f>
        <v>4600010</v>
      </c>
      <c r="V235" s="30">
        <f>1514027843</f>
        <v>1514027843</v>
      </c>
      <c r="W235" s="30">
        <f>605550370</f>
        <v>605550370</v>
      </c>
      <c r="X235" s="34">
        <f>19</f>
        <v>19</v>
      </c>
    </row>
    <row r="236" spans="1:24">
      <c r="A236" s="25" t="s">
        <v>1224</v>
      </c>
      <c r="B236" s="25" t="s">
        <v>1196</v>
      </c>
      <c r="C236" s="25" t="s">
        <v>1195</v>
      </c>
      <c r="D236" s="25" t="s">
        <v>1194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10</v>
      </c>
      <c r="K236" s="31">
        <f>455.8</f>
        <v>455.8</v>
      </c>
      <c r="L236" s="32" t="s">
        <v>1116</v>
      </c>
      <c r="M236" s="31">
        <f>455.8</f>
        <v>455.8</v>
      </c>
      <c r="N236" s="32" t="s">
        <v>1116</v>
      </c>
      <c r="O236" s="31">
        <f>360.2</f>
        <v>360.2</v>
      </c>
      <c r="P236" s="32" t="s">
        <v>876</v>
      </c>
      <c r="Q236" s="31">
        <f>420.5</f>
        <v>420.5</v>
      </c>
      <c r="R236" s="32" t="s">
        <v>777</v>
      </c>
      <c r="S236" s="33">
        <f>404.34</f>
        <v>404.34</v>
      </c>
      <c r="T236" s="30">
        <f>626660</f>
        <v>626660</v>
      </c>
      <c r="U236" s="30" t="str">
        <f>"－"</f>
        <v>－</v>
      </c>
      <c r="V236" s="30">
        <f>254195305</f>
        <v>254195305</v>
      </c>
      <c r="W236" s="30" t="str">
        <f>"－"</f>
        <v>－</v>
      </c>
      <c r="X236" s="34">
        <f>19</f>
        <v>19</v>
      </c>
    </row>
    <row r="237" spans="1:24">
      <c r="A237" s="25" t="s">
        <v>1224</v>
      </c>
      <c r="B237" s="25" t="s">
        <v>868</v>
      </c>
      <c r="C237" s="25" t="s">
        <v>869</v>
      </c>
      <c r="D237" s="25" t="s">
        <v>870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2660</f>
        <v>2660</v>
      </c>
      <c r="L237" s="32" t="s">
        <v>1116</v>
      </c>
      <c r="M237" s="31">
        <f>2732</f>
        <v>2732</v>
      </c>
      <c r="N237" s="32" t="s">
        <v>777</v>
      </c>
      <c r="O237" s="31">
        <f>2489</f>
        <v>2489</v>
      </c>
      <c r="P237" s="32" t="s">
        <v>684</v>
      </c>
      <c r="Q237" s="31">
        <f>2613.5</f>
        <v>2613.5</v>
      </c>
      <c r="R237" s="32" t="s">
        <v>777</v>
      </c>
      <c r="S237" s="33">
        <f>2588.66</f>
        <v>2588.66</v>
      </c>
      <c r="T237" s="30">
        <f>206190</f>
        <v>206190</v>
      </c>
      <c r="U237" s="30" t="str">
        <f>"－"</f>
        <v>－</v>
      </c>
      <c r="V237" s="30">
        <f>530536110</f>
        <v>530536110</v>
      </c>
      <c r="W237" s="30" t="str">
        <f>"－"</f>
        <v>－</v>
      </c>
      <c r="X237" s="34">
        <f>19</f>
        <v>19</v>
      </c>
    </row>
    <row r="238" spans="1:24">
      <c r="A238" s="25" t="s">
        <v>1224</v>
      </c>
      <c r="B238" s="25" t="s">
        <v>871</v>
      </c>
      <c r="C238" s="25" t="s">
        <v>872</v>
      </c>
      <c r="D238" s="25" t="s">
        <v>873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1245</f>
        <v>1245</v>
      </c>
      <c r="L238" s="32" t="s">
        <v>1116</v>
      </c>
      <c r="M238" s="31">
        <f>1265</f>
        <v>1265</v>
      </c>
      <c r="N238" s="32" t="s">
        <v>1111</v>
      </c>
      <c r="O238" s="31">
        <f>1187</f>
        <v>1187</v>
      </c>
      <c r="P238" s="32" t="s">
        <v>684</v>
      </c>
      <c r="Q238" s="31">
        <f>1230</f>
        <v>1230</v>
      </c>
      <c r="R238" s="32" t="s">
        <v>777</v>
      </c>
      <c r="S238" s="33">
        <f>1220.79</f>
        <v>1220.79</v>
      </c>
      <c r="T238" s="30">
        <f>687028</f>
        <v>687028</v>
      </c>
      <c r="U238" s="30">
        <f>100026</f>
        <v>100026</v>
      </c>
      <c r="V238" s="30">
        <f>841378054</f>
        <v>841378054</v>
      </c>
      <c r="W238" s="30">
        <f>121384639</f>
        <v>121384639</v>
      </c>
      <c r="X238" s="34">
        <f>19</f>
        <v>19</v>
      </c>
    </row>
    <row r="239" spans="1:24">
      <c r="A239" s="25" t="s">
        <v>1224</v>
      </c>
      <c r="B239" s="25" t="s">
        <v>877</v>
      </c>
      <c r="C239" s="25" t="s">
        <v>878</v>
      </c>
      <c r="D239" s="25" t="s">
        <v>879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82080</f>
        <v>82080</v>
      </c>
      <c r="L239" s="32" t="s">
        <v>1116</v>
      </c>
      <c r="M239" s="31">
        <f>86000</f>
        <v>86000</v>
      </c>
      <c r="N239" s="32" t="s">
        <v>1111</v>
      </c>
      <c r="O239" s="31">
        <f>75350</f>
        <v>75350</v>
      </c>
      <c r="P239" s="32" t="s">
        <v>876</v>
      </c>
      <c r="Q239" s="31">
        <f>86000</f>
        <v>86000</v>
      </c>
      <c r="R239" s="32" t="s">
        <v>777</v>
      </c>
      <c r="S239" s="33">
        <f>81133.68</f>
        <v>81133.679999999993</v>
      </c>
      <c r="T239" s="30">
        <f>36424</f>
        <v>36424</v>
      </c>
      <c r="U239" s="30" t="str">
        <f>"－"</f>
        <v>－</v>
      </c>
      <c r="V239" s="30">
        <f>2959158240</f>
        <v>2959158240</v>
      </c>
      <c r="W239" s="30" t="str">
        <f>"－"</f>
        <v>－</v>
      </c>
      <c r="X239" s="34">
        <f>19</f>
        <v>19</v>
      </c>
    </row>
    <row r="240" spans="1:24">
      <c r="A240" s="25" t="s">
        <v>1224</v>
      </c>
      <c r="B240" s="25" t="s">
        <v>880</v>
      </c>
      <c r="C240" s="25" t="s">
        <v>881</v>
      </c>
      <c r="D240" s="25" t="s">
        <v>882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7097</f>
        <v>7097</v>
      </c>
      <c r="L240" s="32" t="s">
        <v>1116</v>
      </c>
      <c r="M240" s="31">
        <f>7400</f>
        <v>7400</v>
      </c>
      <c r="N240" s="32" t="s">
        <v>876</v>
      </c>
      <c r="O240" s="31">
        <f>6953</f>
        <v>6953</v>
      </c>
      <c r="P240" s="32" t="s">
        <v>676</v>
      </c>
      <c r="Q240" s="31">
        <f>7150</f>
        <v>7150</v>
      </c>
      <c r="R240" s="32" t="s">
        <v>777</v>
      </c>
      <c r="S240" s="33">
        <f>7140.11</f>
        <v>7140.11</v>
      </c>
      <c r="T240" s="30">
        <f>65161</f>
        <v>65161</v>
      </c>
      <c r="U240" s="30">
        <f>3310</f>
        <v>3310</v>
      </c>
      <c r="V240" s="30">
        <f>463740742</f>
        <v>463740742</v>
      </c>
      <c r="W240" s="30">
        <f>23954462</f>
        <v>23954462</v>
      </c>
      <c r="X240" s="34">
        <f>19</f>
        <v>19</v>
      </c>
    </row>
    <row r="241" spans="1:24">
      <c r="A241" s="25" t="s">
        <v>1224</v>
      </c>
      <c r="B241" s="25" t="s">
        <v>884</v>
      </c>
      <c r="C241" s="25" t="s">
        <v>885</v>
      </c>
      <c r="D241" s="25" t="s">
        <v>886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10</v>
      </c>
      <c r="K241" s="31">
        <f>17730</f>
        <v>17730</v>
      </c>
      <c r="L241" s="32" t="s">
        <v>1116</v>
      </c>
      <c r="M241" s="31">
        <f>18630</f>
        <v>18630</v>
      </c>
      <c r="N241" s="32" t="s">
        <v>676</v>
      </c>
      <c r="O241" s="31">
        <f>16280</f>
        <v>16280</v>
      </c>
      <c r="P241" s="32" t="s">
        <v>876</v>
      </c>
      <c r="Q241" s="31">
        <f>18175</f>
        <v>18175</v>
      </c>
      <c r="R241" s="32" t="s">
        <v>777</v>
      </c>
      <c r="S241" s="33">
        <f>17518.16</f>
        <v>17518.16</v>
      </c>
      <c r="T241" s="30">
        <f>83200</f>
        <v>83200</v>
      </c>
      <c r="U241" s="30" t="str">
        <f>"－"</f>
        <v>－</v>
      </c>
      <c r="V241" s="30">
        <f>1446259500</f>
        <v>1446259500</v>
      </c>
      <c r="W241" s="30" t="str">
        <f>"－"</f>
        <v>－</v>
      </c>
      <c r="X241" s="34">
        <f>19</f>
        <v>19</v>
      </c>
    </row>
    <row r="242" spans="1:24">
      <c r="A242" s="25" t="s">
        <v>1224</v>
      </c>
      <c r="B242" s="25" t="s">
        <v>1192</v>
      </c>
      <c r="C242" s="25" t="s">
        <v>1191</v>
      </c>
      <c r="D242" s="25" t="s">
        <v>1190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932</f>
        <v>932</v>
      </c>
      <c r="L242" s="32" t="s">
        <v>1116</v>
      </c>
      <c r="M242" s="31">
        <f>985</f>
        <v>985</v>
      </c>
      <c r="N242" s="32" t="s">
        <v>1111</v>
      </c>
      <c r="O242" s="31">
        <f>856</f>
        <v>856</v>
      </c>
      <c r="P242" s="32" t="s">
        <v>876</v>
      </c>
      <c r="Q242" s="31">
        <f>953</f>
        <v>953</v>
      </c>
      <c r="R242" s="32" t="s">
        <v>777</v>
      </c>
      <c r="S242" s="33">
        <f>911.16</f>
        <v>911.16</v>
      </c>
      <c r="T242" s="30">
        <f>181887</f>
        <v>181887</v>
      </c>
      <c r="U242" s="30" t="str">
        <f>"－"</f>
        <v>－</v>
      </c>
      <c r="V242" s="30">
        <f>172598736</f>
        <v>172598736</v>
      </c>
      <c r="W242" s="30" t="str">
        <f>"－"</f>
        <v>－</v>
      </c>
      <c r="X242" s="34">
        <f>19</f>
        <v>19</v>
      </c>
    </row>
    <row r="243" spans="1:24">
      <c r="A243" s="25" t="s">
        <v>1224</v>
      </c>
      <c r="B243" s="25" t="s">
        <v>887</v>
      </c>
      <c r="C243" s="25" t="s">
        <v>888</v>
      </c>
      <c r="D243" s="25" t="s">
        <v>889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7142</f>
        <v>7142</v>
      </c>
      <c r="L243" s="32" t="s">
        <v>1116</v>
      </c>
      <c r="M243" s="31">
        <f>7449</f>
        <v>7449</v>
      </c>
      <c r="N243" s="32" t="s">
        <v>876</v>
      </c>
      <c r="O243" s="31">
        <f>7007</f>
        <v>7007</v>
      </c>
      <c r="P243" s="32" t="s">
        <v>676</v>
      </c>
      <c r="Q243" s="31">
        <f>7040</f>
        <v>7040</v>
      </c>
      <c r="R243" s="32" t="s">
        <v>777</v>
      </c>
      <c r="S243" s="33">
        <f>7182.21</f>
        <v>7182.21</v>
      </c>
      <c r="T243" s="30">
        <f>39500</f>
        <v>39500</v>
      </c>
      <c r="U243" s="30" t="str">
        <f>"－"</f>
        <v>－</v>
      </c>
      <c r="V243" s="30">
        <f>283555230</f>
        <v>283555230</v>
      </c>
      <c r="W243" s="30" t="str">
        <f>"－"</f>
        <v>－</v>
      </c>
      <c r="X243" s="34">
        <f>19</f>
        <v>19</v>
      </c>
    </row>
    <row r="244" spans="1:24">
      <c r="A244" s="25" t="s">
        <v>1224</v>
      </c>
      <c r="B244" s="25" t="s">
        <v>890</v>
      </c>
      <c r="C244" s="25" t="s">
        <v>891</v>
      </c>
      <c r="D244" s="25" t="s">
        <v>892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671.3</f>
        <v>671.3</v>
      </c>
      <c r="L244" s="32" t="s">
        <v>1116</v>
      </c>
      <c r="M244" s="31">
        <f>690.2</f>
        <v>690.2</v>
      </c>
      <c r="N244" s="32" t="s">
        <v>1111</v>
      </c>
      <c r="O244" s="31">
        <f>637.4</f>
        <v>637.4</v>
      </c>
      <c r="P244" s="32" t="s">
        <v>684</v>
      </c>
      <c r="Q244" s="31">
        <f>669.2</f>
        <v>669.2</v>
      </c>
      <c r="R244" s="32" t="s">
        <v>777</v>
      </c>
      <c r="S244" s="33">
        <f>663.15</f>
        <v>663.15</v>
      </c>
      <c r="T244" s="30">
        <f>535120</f>
        <v>535120</v>
      </c>
      <c r="U244" s="30" t="str">
        <f>"－"</f>
        <v>－</v>
      </c>
      <c r="V244" s="30">
        <f>352097890</f>
        <v>352097890</v>
      </c>
      <c r="W244" s="30" t="str">
        <f>"－"</f>
        <v>－</v>
      </c>
      <c r="X244" s="34">
        <f>19</f>
        <v>19</v>
      </c>
    </row>
    <row r="245" spans="1:24">
      <c r="A245" s="25" t="s">
        <v>1224</v>
      </c>
      <c r="B245" s="25" t="s">
        <v>893</v>
      </c>
      <c r="C245" s="25" t="s">
        <v>894</v>
      </c>
      <c r="D245" s="25" t="s">
        <v>895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580</f>
        <v>580</v>
      </c>
      <c r="L245" s="32" t="s">
        <v>1116</v>
      </c>
      <c r="M245" s="31">
        <f>597.3</f>
        <v>597.29999999999995</v>
      </c>
      <c r="N245" s="32" t="s">
        <v>1116</v>
      </c>
      <c r="O245" s="31">
        <f>557.5</f>
        <v>557.5</v>
      </c>
      <c r="P245" s="32" t="s">
        <v>876</v>
      </c>
      <c r="Q245" s="31">
        <f>587</f>
        <v>587</v>
      </c>
      <c r="R245" s="32" t="s">
        <v>777</v>
      </c>
      <c r="S245" s="33">
        <f>576.32</f>
        <v>576.32000000000005</v>
      </c>
      <c r="T245" s="30">
        <f>2323150</f>
        <v>2323150</v>
      </c>
      <c r="U245" s="30">
        <f>2124700</f>
        <v>2124700</v>
      </c>
      <c r="V245" s="30">
        <f>1343923560</f>
        <v>1343923560</v>
      </c>
      <c r="W245" s="30">
        <f>1229634410</f>
        <v>1229634410</v>
      </c>
      <c r="X245" s="34">
        <f>19</f>
        <v>19</v>
      </c>
    </row>
    <row r="246" spans="1:24">
      <c r="A246" s="25" t="s">
        <v>1224</v>
      </c>
      <c r="B246" s="25" t="s">
        <v>934</v>
      </c>
      <c r="C246" s="25" t="s">
        <v>935</v>
      </c>
      <c r="D246" s="25" t="s">
        <v>936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1804</f>
        <v>1804</v>
      </c>
      <c r="L246" s="32" t="s">
        <v>1116</v>
      </c>
      <c r="M246" s="31">
        <f>1858</f>
        <v>1858</v>
      </c>
      <c r="N246" s="32" t="s">
        <v>1111</v>
      </c>
      <c r="O246" s="31">
        <f>1546</f>
        <v>1546</v>
      </c>
      <c r="P246" s="32" t="s">
        <v>876</v>
      </c>
      <c r="Q246" s="31">
        <f>1763</f>
        <v>1763</v>
      </c>
      <c r="R246" s="32" t="s">
        <v>777</v>
      </c>
      <c r="S246" s="33">
        <f>1695.47</f>
        <v>1695.47</v>
      </c>
      <c r="T246" s="30">
        <f>8824236</f>
        <v>8824236</v>
      </c>
      <c r="U246" s="30">
        <f>10197</f>
        <v>10197</v>
      </c>
      <c r="V246" s="30">
        <f>14931878024</f>
        <v>14931878024</v>
      </c>
      <c r="W246" s="30">
        <f>17608350</f>
        <v>17608350</v>
      </c>
      <c r="X246" s="34">
        <f>19</f>
        <v>19</v>
      </c>
    </row>
    <row r="247" spans="1:24">
      <c r="A247" s="25" t="s">
        <v>1224</v>
      </c>
      <c r="B247" s="25" t="s">
        <v>937</v>
      </c>
      <c r="C247" s="25" t="s">
        <v>938</v>
      </c>
      <c r="D247" s="25" t="s">
        <v>939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2025</f>
        <v>2025</v>
      </c>
      <c r="L247" s="32" t="s">
        <v>1116</v>
      </c>
      <c r="M247" s="31">
        <f>2140</f>
        <v>2140</v>
      </c>
      <c r="N247" s="32" t="s">
        <v>1111</v>
      </c>
      <c r="O247" s="31">
        <f>1843</f>
        <v>1843</v>
      </c>
      <c r="P247" s="32" t="s">
        <v>876</v>
      </c>
      <c r="Q247" s="31">
        <f>2052</f>
        <v>2052</v>
      </c>
      <c r="R247" s="32" t="s">
        <v>777</v>
      </c>
      <c r="S247" s="33">
        <f>1978.58</f>
        <v>1978.58</v>
      </c>
      <c r="T247" s="30">
        <f>6444591</f>
        <v>6444591</v>
      </c>
      <c r="U247" s="30">
        <f>422</f>
        <v>422</v>
      </c>
      <c r="V247" s="30">
        <f>12743582624</f>
        <v>12743582624</v>
      </c>
      <c r="W247" s="30">
        <f>806873</f>
        <v>806873</v>
      </c>
      <c r="X247" s="34">
        <f>19</f>
        <v>19</v>
      </c>
    </row>
    <row r="248" spans="1:24">
      <c r="A248" s="25" t="s">
        <v>1224</v>
      </c>
      <c r="B248" s="25" t="s">
        <v>940</v>
      </c>
      <c r="C248" s="25" t="s">
        <v>941</v>
      </c>
      <c r="D248" s="25" t="s">
        <v>942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777.2</f>
        <v>777.2</v>
      </c>
      <c r="L248" s="32" t="s">
        <v>1116</v>
      </c>
      <c r="M248" s="31">
        <f>782.4</f>
        <v>782.4</v>
      </c>
      <c r="N248" s="32" t="s">
        <v>1123</v>
      </c>
      <c r="O248" s="31">
        <f>767</f>
        <v>767</v>
      </c>
      <c r="P248" s="32" t="s">
        <v>876</v>
      </c>
      <c r="Q248" s="31">
        <f>780</f>
        <v>780</v>
      </c>
      <c r="R248" s="32" t="s">
        <v>676</v>
      </c>
      <c r="S248" s="33">
        <f>779.55</f>
        <v>779.55</v>
      </c>
      <c r="T248" s="30">
        <f>120460</f>
        <v>120460</v>
      </c>
      <c r="U248" s="30">
        <f>10</f>
        <v>10</v>
      </c>
      <c r="V248" s="30">
        <f>94093128</f>
        <v>94093128</v>
      </c>
      <c r="W248" s="30">
        <f>7787</f>
        <v>7787</v>
      </c>
      <c r="X248" s="34">
        <f>10</f>
        <v>10</v>
      </c>
    </row>
    <row r="249" spans="1:24">
      <c r="A249" s="25" t="s">
        <v>1224</v>
      </c>
      <c r="B249" s="25" t="s">
        <v>943</v>
      </c>
      <c r="C249" s="25" t="s">
        <v>944</v>
      </c>
      <c r="D249" s="25" t="s">
        <v>945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774.2</f>
        <v>774.2</v>
      </c>
      <c r="L249" s="32" t="s">
        <v>1116</v>
      </c>
      <c r="M249" s="31">
        <f>779.5</f>
        <v>779.5</v>
      </c>
      <c r="N249" s="32" t="s">
        <v>684</v>
      </c>
      <c r="O249" s="31">
        <f>760.2</f>
        <v>760.2</v>
      </c>
      <c r="P249" s="32" t="s">
        <v>676</v>
      </c>
      <c r="Q249" s="31">
        <f>773.3</f>
        <v>773.3</v>
      </c>
      <c r="R249" s="32" t="s">
        <v>1111</v>
      </c>
      <c r="S249" s="33">
        <f>775.08</f>
        <v>775.08</v>
      </c>
      <c r="T249" s="30">
        <f>118930</f>
        <v>118930</v>
      </c>
      <c r="U249" s="30" t="str">
        <f>"－"</f>
        <v>－</v>
      </c>
      <c r="V249" s="30">
        <f>92310414</f>
        <v>92310414</v>
      </c>
      <c r="W249" s="30" t="str">
        <f>"－"</f>
        <v>－</v>
      </c>
      <c r="X249" s="34">
        <f>11</f>
        <v>11</v>
      </c>
    </row>
    <row r="250" spans="1:24">
      <c r="A250" s="25" t="s">
        <v>1224</v>
      </c>
      <c r="B250" s="25" t="s">
        <v>952</v>
      </c>
      <c r="C250" s="25" t="s">
        <v>953</v>
      </c>
      <c r="D250" s="25" t="s">
        <v>954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15520</f>
        <v>15520</v>
      </c>
      <c r="L250" s="32" t="s">
        <v>1116</v>
      </c>
      <c r="M250" s="31">
        <f>15800</f>
        <v>15800</v>
      </c>
      <c r="N250" s="32" t="s">
        <v>1111</v>
      </c>
      <c r="O250" s="31">
        <f>14405</f>
        <v>14405</v>
      </c>
      <c r="P250" s="32" t="s">
        <v>876</v>
      </c>
      <c r="Q250" s="31">
        <f>15235</f>
        <v>15235</v>
      </c>
      <c r="R250" s="32" t="s">
        <v>777</v>
      </c>
      <c r="S250" s="33">
        <f>15094.47</f>
        <v>15094.47</v>
      </c>
      <c r="T250" s="30">
        <f>435318</f>
        <v>435318</v>
      </c>
      <c r="U250" s="30">
        <f>72</f>
        <v>72</v>
      </c>
      <c r="V250" s="30">
        <f>6579241690</f>
        <v>6579241690</v>
      </c>
      <c r="W250" s="30">
        <f>1092875</f>
        <v>1092875</v>
      </c>
      <c r="X250" s="34">
        <f>19</f>
        <v>19</v>
      </c>
    </row>
    <row r="251" spans="1:24">
      <c r="A251" s="25" t="s">
        <v>1224</v>
      </c>
      <c r="B251" s="25" t="s">
        <v>955</v>
      </c>
      <c r="C251" s="25" t="s">
        <v>956</v>
      </c>
      <c r="D251" s="25" t="s">
        <v>957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44200</f>
        <v>44200</v>
      </c>
      <c r="L251" s="32" t="s">
        <v>1116</v>
      </c>
      <c r="M251" s="31">
        <f>44600</f>
        <v>44600</v>
      </c>
      <c r="N251" s="32" t="s">
        <v>676</v>
      </c>
      <c r="O251" s="31">
        <f>42040</f>
        <v>42040</v>
      </c>
      <c r="P251" s="32" t="s">
        <v>876</v>
      </c>
      <c r="Q251" s="31">
        <f>44360</f>
        <v>44360</v>
      </c>
      <c r="R251" s="32" t="s">
        <v>777</v>
      </c>
      <c r="S251" s="33">
        <f>43585.26</f>
        <v>43585.26</v>
      </c>
      <c r="T251" s="30">
        <f>71127</f>
        <v>71127</v>
      </c>
      <c r="U251" s="30" t="str">
        <f>"－"</f>
        <v>－</v>
      </c>
      <c r="V251" s="30">
        <f>3114551710</f>
        <v>3114551710</v>
      </c>
      <c r="W251" s="30" t="str">
        <f>"－"</f>
        <v>－</v>
      </c>
      <c r="X251" s="34">
        <f>19</f>
        <v>19</v>
      </c>
    </row>
    <row r="252" spans="1:24">
      <c r="A252" s="25" t="s">
        <v>1224</v>
      </c>
      <c r="B252" s="25" t="s">
        <v>958</v>
      </c>
      <c r="C252" s="25" t="s">
        <v>959</v>
      </c>
      <c r="D252" s="25" t="s">
        <v>960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18460</f>
        <v>18460</v>
      </c>
      <c r="L252" s="32" t="s">
        <v>1116</v>
      </c>
      <c r="M252" s="31">
        <f>19920</f>
        <v>19920</v>
      </c>
      <c r="N252" s="32" t="s">
        <v>876</v>
      </c>
      <c r="O252" s="31">
        <f>17605</f>
        <v>17605</v>
      </c>
      <c r="P252" s="32" t="s">
        <v>676</v>
      </c>
      <c r="Q252" s="31">
        <f>17755</f>
        <v>17755</v>
      </c>
      <c r="R252" s="32" t="s">
        <v>777</v>
      </c>
      <c r="S252" s="33">
        <f>18527.11</f>
        <v>18527.11</v>
      </c>
      <c r="T252" s="30">
        <f>87268</f>
        <v>87268</v>
      </c>
      <c r="U252" s="30">
        <f>2</f>
        <v>2</v>
      </c>
      <c r="V252" s="30">
        <f>1635333970</f>
        <v>1635333970</v>
      </c>
      <c r="W252" s="30">
        <f>39750</f>
        <v>39750</v>
      </c>
      <c r="X252" s="34">
        <f>19</f>
        <v>19</v>
      </c>
    </row>
    <row r="253" spans="1:24">
      <c r="A253" s="25" t="s">
        <v>1224</v>
      </c>
      <c r="B253" s="25" t="s">
        <v>1189</v>
      </c>
      <c r="C253" s="25" t="s">
        <v>1188</v>
      </c>
      <c r="D253" s="25" t="s">
        <v>1187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</v>
      </c>
      <c r="K253" s="31">
        <f>855</f>
        <v>855</v>
      </c>
      <c r="L253" s="32" t="s">
        <v>1116</v>
      </c>
      <c r="M253" s="31">
        <f>979</f>
        <v>979</v>
      </c>
      <c r="N253" s="32" t="s">
        <v>1111</v>
      </c>
      <c r="O253" s="31">
        <f>755</f>
        <v>755</v>
      </c>
      <c r="P253" s="32" t="s">
        <v>876</v>
      </c>
      <c r="Q253" s="31">
        <f>940</f>
        <v>940</v>
      </c>
      <c r="R253" s="32" t="s">
        <v>777</v>
      </c>
      <c r="S253" s="33">
        <f>845.37</f>
        <v>845.37</v>
      </c>
      <c r="T253" s="30">
        <f>96313</f>
        <v>96313</v>
      </c>
      <c r="U253" s="30" t="str">
        <f>"－"</f>
        <v>－</v>
      </c>
      <c r="V253" s="30">
        <f>82839545</f>
        <v>82839545</v>
      </c>
      <c r="W253" s="30" t="str">
        <f>"－"</f>
        <v>－</v>
      </c>
      <c r="X253" s="34">
        <f>19</f>
        <v>19</v>
      </c>
    </row>
    <row r="254" spans="1:24">
      <c r="A254" s="25" t="s">
        <v>1224</v>
      </c>
      <c r="B254" s="25" t="s">
        <v>961</v>
      </c>
      <c r="C254" s="25" t="s">
        <v>962</v>
      </c>
      <c r="D254" s="25" t="s">
        <v>963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237.4</f>
        <v>237.4</v>
      </c>
      <c r="L254" s="32" t="s">
        <v>1116</v>
      </c>
      <c r="M254" s="31">
        <f>248.4</f>
        <v>248.4</v>
      </c>
      <c r="N254" s="32" t="s">
        <v>1111</v>
      </c>
      <c r="O254" s="31">
        <f>223</f>
        <v>223</v>
      </c>
      <c r="P254" s="32" t="s">
        <v>684</v>
      </c>
      <c r="Q254" s="31">
        <f>236.9</f>
        <v>236.9</v>
      </c>
      <c r="R254" s="32" t="s">
        <v>777</v>
      </c>
      <c r="S254" s="33">
        <f>233.01</f>
        <v>233.01</v>
      </c>
      <c r="T254" s="30">
        <f>38130</f>
        <v>38130</v>
      </c>
      <c r="U254" s="30" t="str">
        <f>"－"</f>
        <v>－</v>
      </c>
      <c r="V254" s="30">
        <f>8864212</f>
        <v>8864212</v>
      </c>
      <c r="W254" s="30" t="str">
        <f>"－"</f>
        <v>－</v>
      </c>
      <c r="X254" s="34">
        <f>19</f>
        <v>19</v>
      </c>
    </row>
    <row r="255" spans="1:24">
      <c r="A255" s="25" t="s">
        <v>1224</v>
      </c>
      <c r="B255" s="25" t="s">
        <v>964</v>
      </c>
      <c r="C255" s="25" t="s">
        <v>965</v>
      </c>
      <c r="D255" s="25" t="s">
        <v>966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753.5</f>
        <v>753.5</v>
      </c>
      <c r="L255" s="32" t="s">
        <v>1116</v>
      </c>
      <c r="M255" s="31">
        <f>765</f>
        <v>765</v>
      </c>
      <c r="N255" s="32" t="s">
        <v>777</v>
      </c>
      <c r="O255" s="31">
        <f>739.8</f>
        <v>739.8</v>
      </c>
      <c r="P255" s="32" t="s">
        <v>1111</v>
      </c>
      <c r="Q255" s="31">
        <f>747</f>
        <v>747</v>
      </c>
      <c r="R255" s="32" t="s">
        <v>777</v>
      </c>
      <c r="S255" s="33">
        <f>747.69</f>
        <v>747.69</v>
      </c>
      <c r="T255" s="30">
        <f>69310</f>
        <v>69310</v>
      </c>
      <c r="U255" s="30">
        <f>40</f>
        <v>40</v>
      </c>
      <c r="V255" s="30">
        <f>51846668</f>
        <v>51846668</v>
      </c>
      <c r="W255" s="30">
        <f>29846</f>
        <v>29846</v>
      </c>
      <c r="X255" s="34">
        <f>19</f>
        <v>19</v>
      </c>
    </row>
    <row r="256" spans="1:24">
      <c r="A256" s="25" t="s">
        <v>1224</v>
      </c>
      <c r="B256" s="25" t="s">
        <v>982</v>
      </c>
      <c r="C256" s="25" t="s">
        <v>983</v>
      </c>
      <c r="D256" s="25" t="s">
        <v>984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</v>
      </c>
      <c r="K256" s="31">
        <f>1156</f>
        <v>1156</v>
      </c>
      <c r="L256" s="32" t="s">
        <v>1116</v>
      </c>
      <c r="M256" s="31">
        <f>1179</f>
        <v>1179</v>
      </c>
      <c r="N256" s="32" t="s">
        <v>1111</v>
      </c>
      <c r="O256" s="31">
        <f>1060</f>
        <v>1060</v>
      </c>
      <c r="P256" s="32" t="s">
        <v>684</v>
      </c>
      <c r="Q256" s="31">
        <f>1137</f>
        <v>1137</v>
      </c>
      <c r="R256" s="32" t="s">
        <v>777</v>
      </c>
      <c r="S256" s="33">
        <f>1116.89</f>
        <v>1116.8900000000001</v>
      </c>
      <c r="T256" s="30">
        <f>240878</f>
        <v>240878</v>
      </c>
      <c r="U256" s="30" t="str">
        <f>"－"</f>
        <v>－</v>
      </c>
      <c r="V256" s="30">
        <f>270905088</f>
        <v>270905088</v>
      </c>
      <c r="W256" s="30" t="str">
        <f>"－"</f>
        <v>－</v>
      </c>
      <c r="X256" s="34">
        <f>19</f>
        <v>19</v>
      </c>
    </row>
    <row r="257" spans="1:24">
      <c r="A257" s="25" t="s">
        <v>1224</v>
      </c>
      <c r="B257" s="25" t="s">
        <v>985</v>
      </c>
      <c r="C257" s="25" t="s">
        <v>986</v>
      </c>
      <c r="D257" s="25" t="s">
        <v>987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1159</f>
        <v>1159</v>
      </c>
      <c r="L257" s="32" t="s">
        <v>1116</v>
      </c>
      <c r="M257" s="31">
        <f>1165</f>
        <v>1165</v>
      </c>
      <c r="N257" s="32" t="s">
        <v>1118</v>
      </c>
      <c r="O257" s="31">
        <f>1100</f>
        <v>1100</v>
      </c>
      <c r="P257" s="32" t="s">
        <v>684</v>
      </c>
      <c r="Q257" s="31">
        <f>1128</f>
        <v>1128</v>
      </c>
      <c r="R257" s="32" t="s">
        <v>777</v>
      </c>
      <c r="S257" s="33">
        <f>1131.95</f>
        <v>1131.95</v>
      </c>
      <c r="T257" s="30">
        <f>307253</f>
        <v>307253</v>
      </c>
      <c r="U257" s="30" t="str">
        <f>"－"</f>
        <v>－</v>
      </c>
      <c r="V257" s="30">
        <f>347365134</f>
        <v>347365134</v>
      </c>
      <c r="W257" s="30" t="str">
        <f>"－"</f>
        <v>－</v>
      </c>
      <c r="X257" s="34">
        <f>19</f>
        <v>19</v>
      </c>
    </row>
    <row r="258" spans="1:24">
      <c r="A258" s="25" t="s">
        <v>1224</v>
      </c>
      <c r="B258" s="25" t="s">
        <v>988</v>
      </c>
      <c r="C258" s="25" t="s">
        <v>989</v>
      </c>
      <c r="D258" s="25" t="s">
        <v>990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</v>
      </c>
      <c r="K258" s="31">
        <f>692</f>
        <v>692</v>
      </c>
      <c r="L258" s="32" t="s">
        <v>1116</v>
      </c>
      <c r="M258" s="31">
        <f>888</f>
        <v>888</v>
      </c>
      <c r="N258" s="32" t="s">
        <v>777</v>
      </c>
      <c r="O258" s="31">
        <f>646</f>
        <v>646</v>
      </c>
      <c r="P258" s="32" t="s">
        <v>684</v>
      </c>
      <c r="Q258" s="31">
        <f>886</f>
        <v>886</v>
      </c>
      <c r="R258" s="32" t="s">
        <v>777</v>
      </c>
      <c r="S258" s="33">
        <f>693.05</f>
        <v>693.05</v>
      </c>
      <c r="T258" s="30">
        <f>1603313</f>
        <v>1603313</v>
      </c>
      <c r="U258" s="30" t="str">
        <f>"－"</f>
        <v>－</v>
      </c>
      <c r="V258" s="30">
        <f>1189276880</f>
        <v>1189276880</v>
      </c>
      <c r="W258" s="30" t="str">
        <f>"－"</f>
        <v>－</v>
      </c>
      <c r="X258" s="34">
        <f>19</f>
        <v>19</v>
      </c>
    </row>
    <row r="259" spans="1:24">
      <c r="A259" s="25" t="s">
        <v>1224</v>
      </c>
      <c r="B259" s="25" t="s">
        <v>1059</v>
      </c>
      <c r="C259" s="25" t="s">
        <v>1060</v>
      </c>
      <c r="D259" s="25" t="s">
        <v>1061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215.5</f>
        <v>215.5</v>
      </c>
      <c r="L259" s="32" t="s">
        <v>1116</v>
      </c>
      <c r="M259" s="31">
        <f>218.3</f>
        <v>218.3</v>
      </c>
      <c r="N259" s="32" t="s">
        <v>684</v>
      </c>
      <c r="O259" s="31">
        <f>211.9</f>
        <v>211.9</v>
      </c>
      <c r="P259" s="32" t="s">
        <v>777</v>
      </c>
      <c r="Q259" s="31">
        <f>212</f>
        <v>212</v>
      </c>
      <c r="R259" s="32" t="s">
        <v>777</v>
      </c>
      <c r="S259" s="33">
        <f>215.73</f>
        <v>215.73</v>
      </c>
      <c r="T259" s="30">
        <f>14088060</f>
        <v>14088060</v>
      </c>
      <c r="U259" s="30">
        <f>4140</f>
        <v>4140</v>
      </c>
      <c r="V259" s="30">
        <f>3037249031</f>
        <v>3037249031</v>
      </c>
      <c r="W259" s="30">
        <f>894067</f>
        <v>894067</v>
      </c>
      <c r="X259" s="34">
        <f>19</f>
        <v>19</v>
      </c>
    </row>
    <row r="260" spans="1:24">
      <c r="A260" s="25" t="s">
        <v>1224</v>
      </c>
      <c r="B260" s="25" t="s">
        <v>1062</v>
      </c>
      <c r="C260" s="25" t="s">
        <v>1063</v>
      </c>
      <c r="D260" s="25" t="s">
        <v>1064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207.5</f>
        <v>207.5</v>
      </c>
      <c r="L260" s="32" t="s">
        <v>1116</v>
      </c>
      <c r="M260" s="31">
        <f>211</f>
        <v>211</v>
      </c>
      <c r="N260" s="32" t="s">
        <v>777</v>
      </c>
      <c r="O260" s="31">
        <f>192</f>
        <v>192</v>
      </c>
      <c r="P260" s="32" t="s">
        <v>1145</v>
      </c>
      <c r="Q260" s="31">
        <f>204.9</f>
        <v>204.9</v>
      </c>
      <c r="R260" s="32" t="s">
        <v>777</v>
      </c>
      <c r="S260" s="33">
        <f>206.53</f>
        <v>206.53</v>
      </c>
      <c r="T260" s="30">
        <f>1159540</f>
        <v>1159540</v>
      </c>
      <c r="U260" s="30">
        <f>10</f>
        <v>10</v>
      </c>
      <c r="V260" s="30">
        <f>239307373</f>
        <v>239307373</v>
      </c>
      <c r="W260" s="30">
        <f>2040</f>
        <v>2040</v>
      </c>
      <c r="X260" s="34">
        <f>19</f>
        <v>19</v>
      </c>
    </row>
    <row r="261" spans="1:24">
      <c r="A261" s="25" t="s">
        <v>1224</v>
      </c>
      <c r="B261" s="25" t="s">
        <v>1065</v>
      </c>
      <c r="C261" s="25" t="s">
        <v>1066</v>
      </c>
      <c r="D261" s="25" t="s">
        <v>1067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209.5</f>
        <v>209.5</v>
      </c>
      <c r="L261" s="32" t="s">
        <v>1116</v>
      </c>
      <c r="M261" s="31">
        <f>215.3</f>
        <v>215.3</v>
      </c>
      <c r="N261" s="32" t="s">
        <v>777</v>
      </c>
      <c r="O261" s="31">
        <f>204.5</f>
        <v>204.5</v>
      </c>
      <c r="P261" s="32" t="s">
        <v>682</v>
      </c>
      <c r="Q261" s="31">
        <f>206.3</f>
        <v>206.3</v>
      </c>
      <c r="R261" s="32" t="s">
        <v>777</v>
      </c>
      <c r="S261" s="33">
        <f>207.52</f>
        <v>207.52</v>
      </c>
      <c r="T261" s="30">
        <f>323720</f>
        <v>323720</v>
      </c>
      <c r="U261" s="30">
        <f>410</f>
        <v>410</v>
      </c>
      <c r="V261" s="30">
        <f>67462494</f>
        <v>67462494</v>
      </c>
      <c r="W261" s="30">
        <f>82146</f>
        <v>82146</v>
      </c>
      <c r="X261" s="34">
        <f>19</f>
        <v>19</v>
      </c>
    </row>
    <row r="262" spans="1:24">
      <c r="A262" s="25" t="s">
        <v>1224</v>
      </c>
      <c r="B262" s="25" t="s">
        <v>1068</v>
      </c>
      <c r="C262" s="25" t="s">
        <v>1069</v>
      </c>
      <c r="D262" s="25" t="s">
        <v>1070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208.2</f>
        <v>208.2</v>
      </c>
      <c r="L262" s="32" t="s">
        <v>1116</v>
      </c>
      <c r="M262" s="31">
        <f>216</f>
        <v>216</v>
      </c>
      <c r="N262" s="32" t="s">
        <v>777</v>
      </c>
      <c r="O262" s="31">
        <f>201.8</f>
        <v>201.8</v>
      </c>
      <c r="P262" s="32" t="s">
        <v>684</v>
      </c>
      <c r="Q262" s="31">
        <f>206.4</f>
        <v>206.4</v>
      </c>
      <c r="R262" s="32" t="s">
        <v>777</v>
      </c>
      <c r="S262" s="33">
        <f>206.57</f>
        <v>206.57</v>
      </c>
      <c r="T262" s="30">
        <f>761740</f>
        <v>761740</v>
      </c>
      <c r="U262" s="30">
        <f>50</f>
        <v>50</v>
      </c>
      <c r="V262" s="30">
        <f>156590174</f>
        <v>156590174</v>
      </c>
      <c r="W262" s="30">
        <f>10935</f>
        <v>10935</v>
      </c>
      <c r="X262" s="34">
        <f>19</f>
        <v>19</v>
      </c>
    </row>
    <row r="263" spans="1:24">
      <c r="A263" s="25" t="s">
        <v>1224</v>
      </c>
      <c r="B263" s="25" t="s">
        <v>1071</v>
      </c>
      <c r="C263" s="25" t="s">
        <v>1072</v>
      </c>
      <c r="D263" s="25" t="s">
        <v>1073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204</f>
        <v>204</v>
      </c>
      <c r="L263" s="32" t="s">
        <v>1116</v>
      </c>
      <c r="M263" s="31">
        <f>204</f>
        <v>204</v>
      </c>
      <c r="N263" s="32" t="s">
        <v>1116</v>
      </c>
      <c r="O263" s="31">
        <f>198.9</f>
        <v>198.9</v>
      </c>
      <c r="P263" s="32" t="s">
        <v>1145</v>
      </c>
      <c r="Q263" s="31">
        <f>201</f>
        <v>201</v>
      </c>
      <c r="R263" s="32" t="s">
        <v>777</v>
      </c>
      <c r="S263" s="33">
        <f>201</f>
        <v>201</v>
      </c>
      <c r="T263" s="30">
        <f>4647890</f>
        <v>4647890</v>
      </c>
      <c r="U263" s="30">
        <f>4337800</f>
        <v>4337800</v>
      </c>
      <c r="V263" s="30">
        <f>930555954</f>
        <v>930555954</v>
      </c>
      <c r="W263" s="30">
        <f>868530097</f>
        <v>868530097</v>
      </c>
      <c r="X263" s="34">
        <f>19</f>
        <v>19</v>
      </c>
    </row>
    <row r="264" spans="1:24">
      <c r="A264" s="25" t="s">
        <v>1224</v>
      </c>
      <c r="B264" s="25" t="s">
        <v>1203</v>
      </c>
      <c r="C264" s="25" t="s">
        <v>1204</v>
      </c>
      <c r="D264" s="25" t="s">
        <v>1205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2095</f>
        <v>2095</v>
      </c>
      <c r="L264" s="32" t="s">
        <v>1116</v>
      </c>
      <c r="M264" s="31">
        <f>2160</f>
        <v>2160</v>
      </c>
      <c r="N264" s="32" t="s">
        <v>1111</v>
      </c>
      <c r="O264" s="31">
        <f>1972</f>
        <v>1972</v>
      </c>
      <c r="P264" s="32" t="s">
        <v>684</v>
      </c>
      <c r="Q264" s="31">
        <f>2064</f>
        <v>2064</v>
      </c>
      <c r="R264" s="32" t="s">
        <v>777</v>
      </c>
      <c r="S264" s="33">
        <f>2049.74</f>
        <v>2049.7399999999998</v>
      </c>
      <c r="T264" s="30">
        <f>762607</f>
        <v>762607</v>
      </c>
      <c r="U264" s="30">
        <f>17</f>
        <v>17</v>
      </c>
      <c r="V264" s="30">
        <f>1567916637</f>
        <v>1567916637</v>
      </c>
      <c r="W264" s="30">
        <f>34468</f>
        <v>34468</v>
      </c>
      <c r="X264" s="34">
        <f>19</f>
        <v>19</v>
      </c>
    </row>
    <row r="265" spans="1:24">
      <c r="A265" s="25" t="s">
        <v>1224</v>
      </c>
      <c r="B265" s="25" t="s">
        <v>1207</v>
      </c>
      <c r="C265" s="25" t="s">
        <v>1208</v>
      </c>
      <c r="D265" s="25" t="s">
        <v>1209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1044</f>
        <v>1044</v>
      </c>
      <c r="L265" s="32" t="s">
        <v>1116</v>
      </c>
      <c r="M265" s="31">
        <f>1055</f>
        <v>1055</v>
      </c>
      <c r="N265" s="32" t="s">
        <v>777</v>
      </c>
      <c r="O265" s="31">
        <f>957</f>
        <v>957</v>
      </c>
      <c r="P265" s="32" t="s">
        <v>684</v>
      </c>
      <c r="Q265" s="31">
        <f>1009</f>
        <v>1009</v>
      </c>
      <c r="R265" s="32" t="s">
        <v>777</v>
      </c>
      <c r="S265" s="33">
        <f>1006.37</f>
        <v>1006.37</v>
      </c>
      <c r="T265" s="30">
        <f>300198</f>
        <v>300198</v>
      </c>
      <c r="U265" s="30">
        <f>95002</f>
        <v>95002</v>
      </c>
      <c r="V265" s="30">
        <f>301055799</f>
        <v>301055799</v>
      </c>
      <c r="W265" s="30">
        <f>93778437</f>
        <v>93778437</v>
      </c>
      <c r="X265" s="34">
        <f>19</f>
        <v>19</v>
      </c>
    </row>
    <row r="266" spans="1:24">
      <c r="A266" s="25" t="s">
        <v>1224</v>
      </c>
      <c r="B266" s="25" t="s">
        <v>1211</v>
      </c>
      <c r="C266" s="25" t="s">
        <v>1212</v>
      </c>
      <c r="D266" s="25" t="s">
        <v>1213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</v>
      </c>
      <c r="K266" s="31">
        <f>1026</f>
        <v>1026</v>
      </c>
      <c r="L266" s="32" t="s">
        <v>1116</v>
      </c>
      <c r="M266" s="31">
        <f>1033</f>
        <v>1033</v>
      </c>
      <c r="N266" s="32" t="s">
        <v>1145</v>
      </c>
      <c r="O266" s="31">
        <f>950</f>
        <v>950</v>
      </c>
      <c r="P266" s="32" t="s">
        <v>682</v>
      </c>
      <c r="Q266" s="31">
        <f>992</f>
        <v>992</v>
      </c>
      <c r="R266" s="32" t="s">
        <v>777</v>
      </c>
      <c r="S266" s="33">
        <f>990.42</f>
        <v>990.42</v>
      </c>
      <c r="T266" s="30">
        <f>1996210</f>
        <v>1996210</v>
      </c>
      <c r="U266" s="30">
        <f>1072003</f>
        <v>1072003</v>
      </c>
      <c r="V266" s="30">
        <f>1962563545</f>
        <v>1962563545</v>
      </c>
      <c r="W266" s="30">
        <f>1047368729</f>
        <v>1047368729</v>
      </c>
      <c r="X266" s="34">
        <f>19</f>
        <v>19</v>
      </c>
    </row>
    <row r="267" spans="1:24">
      <c r="A267" s="25" t="s">
        <v>1224</v>
      </c>
      <c r="B267" s="25" t="s">
        <v>1214</v>
      </c>
      <c r="C267" s="25" t="s">
        <v>1215</v>
      </c>
      <c r="D267" s="25" t="s">
        <v>1216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500</f>
        <v>500</v>
      </c>
      <c r="L267" s="32" t="s">
        <v>1116</v>
      </c>
      <c r="M267" s="31">
        <f>507.9</f>
        <v>507.9</v>
      </c>
      <c r="N267" s="32" t="s">
        <v>1118</v>
      </c>
      <c r="O267" s="31">
        <f>496.8</f>
        <v>496.8</v>
      </c>
      <c r="P267" s="32" t="s">
        <v>1145</v>
      </c>
      <c r="Q267" s="31">
        <f>501.2</f>
        <v>501.2</v>
      </c>
      <c r="R267" s="32" t="s">
        <v>777</v>
      </c>
      <c r="S267" s="33">
        <f>501.59</f>
        <v>501.59</v>
      </c>
      <c r="T267" s="30">
        <f>127040</f>
        <v>127040</v>
      </c>
      <c r="U267" s="30">
        <f>60210</f>
        <v>60210</v>
      </c>
      <c r="V267" s="30">
        <f>63884821</f>
        <v>63884821</v>
      </c>
      <c r="W267" s="30">
        <f>30288092</f>
        <v>30288092</v>
      </c>
      <c r="X267" s="34">
        <f>19</f>
        <v>19</v>
      </c>
    </row>
    <row r="268" spans="1:24">
      <c r="A268" s="25" t="s">
        <v>1224</v>
      </c>
      <c r="B268" s="25" t="s">
        <v>1218</v>
      </c>
      <c r="C268" s="25" t="s">
        <v>1219</v>
      </c>
      <c r="D268" s="25" t="s">
        <v>1220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199.9</f>
        <v>199.9</v>
      </c>
      <c r="L268" s="32" t="s">
        <v>1116</v>
      </c>
      <c r="M268" s="31">
        <f>213</f>
        <v>213</v>
      </c>
      <c r="N268" s="32" t="s">
        <v>674</v>
      </c>
      <c r="O268" s="31">
        <f>197.2</f>
        <v>197.2</v>
      </c>
      <c r="P268" s="32" t="s">
        <v>777</v>
      </c>
      <c r="Q268" s="31">
        <f>197.5</f>
        <v>197.5</v>
      </c>
      <c r="R268" s="32" t="s">
        <v>777</v>
      </c>
      <c r="S268" s="33">
        <f>203.05</f>
        <v>203.05</v>
      </c>
      <c r="T268" s="30">
        <f>1230990</f>
        <v>1230990</v>
      </c>
      <c r="U268" s="30">
        <f>30</f>
        <v>30</v>
      </c>
      <c r="V268" s="30">
        <f>249778536</f>
        <v>249778536</v>
      </c>
      <c r="W268" s="30">
        <f>6133</f>
        <v>6133</v>
      </c>
      <c r="X268" s="34">
        <f>19</f>
        <v>19</v>
      </c>
    </row>
    <row r="269" spans="1:24">
      <c r="A269" s="25" t="s">
        <v>1224</v>
      </c>
      <c r="B269" s="25" t="s">
        <v>1221</v>
      </c>
      <c r="C269" s="25" t="s">
        <v>1222</v>
      </c>
      <c r="D269" s="25" t="s">
        <v>1223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196.9</f>
        <v>196.9</v>
      </c>
      <c r="L269" s="32" t="s">
        <v>1116</v>
      </c>
      <c r="M269" s="31">
        <f>237</f>
        <v>237</v>
      </c>
      <c r="N269" s="32" t="s">
        <v>684</v>
      </c>
      <c r="O269" s="31">
        <f>195.2</f>
        <v>195.2</v>
      </c>
      <c r="P269" s="32" t="s">
        <v>1145</v>
      </c>
      <c r="Q269" s="31">
        <f>199.4</f>
        <v>199.4</v>
      </c>
      <c r="R269" s="32" t="s">
        <v>777</v>
      </c>
      <c r="S269" s="33">
        <f>202.79</f>
        <v>202.79</v>
      </c>
      <c r="T269" s="30">
        <f>6143540</f>
        <v>6143540</v>
      </c>
      <c r="U269" s="30" t="str">
        <f>"－"</f>
        <v>－</v>
      </c>
      <c r="V269" s="30">
        <f>1247074040</f>
        <v>1247074040</v>
      </c>
      <c r="W269" s="30" t="str">
        <f>"－"</f>
        <v>－</v>
      </c>
      <c r="X269" s="34">
        <f>19</f>
        <v>19</v>
      </c>
    </row>
    <row r="270" spans="1:24">
      <c r="A270" s="25" t="s">
        <v>1224</v>
      </c>
      <c r="B270" s="25" t="s">
        <v>539</v>
      </c>
      <c r="C270" s="25" t="s">
        <v>540</v>
      </c>
      <c r="D270" s="25" t="s">
        <v>541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918.5</f>
        <v>918.5</v>
      </c>
      <c r="L270" s="32" t="s">
        <v>1116</v>
      </c>
      <c r="M270" s="31">
        <f>951</f>
        <v>951</v>
      </c>
      <c r="N270" s="32" t="s">
        <v>674</v>
      </c>
      <c r="O270" s="31">
        <f>908</f>
        <v>908</v>
      </c>
      <c r="P270" s="32" t="s">
        <v>677</v>
      </c>
      <c r="Q270" s="31">
        <f>912.3</f>
        <v>912.3</v>
      </c>
      <c r="R270" s="32" t="s">
        <v>777</v>
      </c>
      <c r="S270" s="33">
        <f>915.13</f>
        <v>915.13</v>
      </c>
      <c r="T270" s="30">
        <f>9980580</f>
        <v>9980580</v>
      </c>
      <c r="U270" s="30">
        <f>8210750</f>
        <v>8210750</v>
      </c>
      <c r="V270" s="30">
        <f>9118326291</f>
        <v>9118326291</v>
      </c>
      <c r="W270" s="30">
        <f>7500887724</f>
        <v>7500887724</v>
      </c>
      <c r="X270" s="34">
        <f>19</f>
        <v>19</v>
      </c>
    </row>
    <row r="271" spans="1:24">
      <c r="A271" s="25" t="s">
        <v>1224</v>
      </c>
      <c r="B271" s="25" t="s">
        <v>542</v>
      </c>
      <c r="C271" s="25" t="s">
        <v>543</v>
      </c>
      <c r="D271" s="25" t="s">
        <v>544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1089.5</f>
        <v>1089.5</v>
      </c>
      <c r="L271" s="32" t="s">
        <v>1116</v>
      </c>
      <c r="M271" s="31">
        <f>1155</f>
        <v>1155</v>
      </c>
      <c r="N271" s="32" t="s">
        <v>1145</v>
      </c>
      <c r="O271" s="31">
        <f>1046</f>
        <v>1046</v>
      </c>
      <c r="P271" s="32" t="s">
        <v>684</v>
      </c>
      <c r="Q271" s="31">
        <f>1057</f>
        <v>1057</v>
      </c>
      <c r="R271" s="32" t="s">
        <v>777</v>
      </c>
      <c r="S271" s="33">
        <f>1071.16</f>
        <v>1071.1600000000001</v>
      </c>
      <c r="T271" s="30">
        <f>4929660</f>
        <v>4929660</v>
      </c>
      <c r="U271" s="30">
        <f>3629080</f>
        <v>3629080</v>
      </c>
      <c r="V271" s="30">
        <f>5239571396</f>
        <v>5239571396</v>
      </c>
      <c r="W271" s="30">
        <f>3851990246</f>
        <v>3851990246</v>
      </c>
      <c r="X271" s="34">
        <f>19</f>
        <v>19</v>
      </c>
    </row>
    <row r="272" spans="1:24">
      <c r="A272" s="25" t="s">
        <v>1224</v>
      </c>
      <c r="B272" s="25" t="s">
        <v>545</v>
      </c>
      <c r="C272" s="25" t="s">
        <v>546</v>
      </c>
      <c r="D272" s="25" t="s">
        <v>547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792.5</f>
        <v>792.5</v>
      </c>
      <c r="L272" s="32" t="s">
        <v>1116</v>
      </c>
      <c r="M272" s="31">
        <f>796</f>
        <v>796</v>
      </c>
      <c r="N272" s="32" t="s">
        <v>675</v>
      </c>
      <c r="O272" s="31">
        <f>770</f>
        <v>770</v>
      </c>
      <c r="P272" s="32" t="s">
        <v>1145</v>
      </c>
      <c r="Q272" s="31">
        <f>791.1</f>
        <v>791.1</v>
      </c>
      <c r="R272" s="32" t="s">
        <v>777</v>
      </c>
      <c r="S272" s="33">
        <f>790.95</f>
        <v>790.95</v>
      </c>
      <c r="T272" s="30">
        <f>10654670</f>
        <v>10654670</v>
      </c>
      <c r="U272" s="30">
        <f>10140370</f>
        <v>10140370</v>
      </c>
      <c r="V272" s="30">
        <f>8423929995</f>
        <v>8423929995</v>
      </c>
      <c r="W272" s="30">
        <f>8017202544</f>
        <v>8017202544</v>
      </c>
      <c r="X272" s="34">
        <f>19</f>
        <v>19</v>
      </c>
    </row>
    <row r="273" spans="1:24">
      <c r="A273" s="25" t="s">
        <v>1224</v>
      </c>
      <c r="B273" s="25" t="s">
        <v>548</v>
      </c>
      <c r="C273" s="25" t="s">
        <v>549</v>
      </c>
      <c r="D273" s="25" t="s">
        <v>550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2459.5</f>
        <v>2459.5</v>
      </c>
      <c r="L273" s="32" t="s">
        <v>1116</v>
      </c>
      <c r="M273" s="31">
        <f>2487</f>
        <v>2487</v>
      </c>
      <c r="N273" s="32" t="s">
        <v>1111</v>
      </c>
      <c r="O273" s="31">
        <f>2278</f>
        <v>2278</v>
      </c>
      <c r="P273" s="32" t="s">
        <v>684</v>
      </c>
      <c r="Q273" s="31">
        <f>2408</f>
        <v>2408</v>
      </c>
      <c r="R273" s="32" t="s">
        <v>777</v>
      </c>
      <c r="S273" s="33">
        <f>2382.95</f>
        <v>2382.9499999999998</v>
      </c>
      <c r="T273" s="30">
        <f>2315720</f>
        <v>2315720</v>
      </c>
      <c r="U273" s="30">
        <f>1948430</f>
        <v>1948430</v>
      </c>
      <c r="V273" s="30">
        <f>5514957362</f>
        <v>5514957362</v>
      </c>
      <c r="W273" s="30">
        <f>4649419587</f>
        <v>4649419587</v>
      </c>
      <c r="X273" s="34">
        <f>19</f>
        <v>19</v>
      </c>
    </row>
    <row r="274" spans="1:24">
      <c r="A274" s="25" t="s">
        <v>1224</v>
      </c>
      <c r="B274" s="25" t="s">
        <v>551</v>
      </c>
      <c r="C274" s="25" t="s">
        <v>552</v>
      </c>
      <c r="D274" s="25" t="s">
        <v>553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1633</f>
        <v>1633</v>
      </c>
      <c r="L274" s="32" t="s">
        <v>1116</v>
      </c>
      <c r="M274" s="31">
        <f>1643</f>
        <v>1643</v>
      </c>
      <c r="N274" s="32" t="s">
        <v>676</v>
      </c>
      <c r="O274" s="31">
        <f>1554</f>
        <v>1554</v>
      </c>
      <c r="P274" s="32" t="s">
        <v>876</v>
      </c>
      <c r="Q274" s="31">
        <f>1638.5</f>
        <v>1638.5</v>
      </c>
      <c r="R274" s="32" t="s">
        <v>777</v>
      </c>
      <c r="S274" s="33">
        <f>1608.37</f>
        <v>1608.37</v>
      </c>
      <c r="T274" s="30">
        <f>848800</f>
        <v>848800</v>
      </c>
      <c r="U274" s="30">
        <f>580060</f>
        <v>580060</v>
      </c>
      <c r="V274" s="30">
        <f>1374765863</f>
        <v>1374765863</v>
      </c>
      <c r="W274" s="30">
        <f>937881453</f>
        <v>937881453</v>
      </c>
      <c r="X274" s="34">
        <f>19</f>
        <v>19</v>
      </c>
    </row>
    <row r="275" spans="1:24">
      <c r="A275" s="25" t="s">
        <v>1224</v>
      </c>
      <c r="B275" s="25" t="s">
        <v>554</v>
      </c>
      <c r="C275" s="25" t="s">
        <v>555</v>
      </c>
      <c r="D275" s="25" t="s">
        <v>556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1461</f>
        <v>1461</v>
      </c>
      <c r="L275" s="32" t="s">
        <v>1116</v>
      </c>
      <c r="M275" s="31">
        <f>1520</f>
        <v>1520</v>
      </c>
      <c r="N275" s="32" t="s">
        <v>675</v>
      </c>
      <c r="O275" s="31">
        <f>1392.5</f>
        <v>1392.5</v>
      </c>
      <c r="P275" s="32" t="s">
        <v>876</v>
      </c>
      <c r="Q275" s="31">
        <f>1436</f>
        <v>1436</v>
      </c>
      <c r="R275" s="32" t="s">
        <v>777</v>
      </c>
      <c r="S275" s="33">
        <f>1444.84</f>
        <v>1444.84</v>
      </c>
      <c r="T275" s="30">
        <f>833920</f>
        <v>833920</v>
      </c>
      <c r="U275" s="30">
        <f>169950</f>
        <v>169950</v>
      </c>
      <c r="V275" s="30">
        <f>1206444057</f>
        <v>1206444057</v>
      </c>
      <c r="W275" s="30">
        <f>245417017</f>
        <v>245417017</v>
      </c>
      <c r="X275" s="34">
        <f>19</f>
        <v>19</v>
      </c>
    </row>
    <row r="276" spans="1:24">
      <c r="A276" s="25" t="s">
        <v>1224</v>
      </c>
      <c r="B276" s="25" t="s">
        <v>557</v>
      </c>
      <c r="C276" s="25" t="s">
        <v>1074</v>
      </c>
      <c r="D276" s="25" t="s">
        <v>1075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525.8</f>
        <v>525.79999999999995</v>
      </c>
      <c r="L276" s="32" t="s">
        <v>1116</v>
      </c>
      <c r="M276" s="31">
        <f>533</f>
        <v>533</v>
      </c>
      <c r="N276" s="32" t="s">
        <v>1145</v>
      </c>
      <c r="O276" s="31">
        <f>485.8</f>
        <v>485.8</v>
      </c>
      <c r="P276" s="32" t="s">
        <v>876</v>
      </c>
      <c r="Q276" s="31">
        <f>509.1</f>
        <v>509.1</v>
      </c>
      <c r="R276" s="32" t="s">
        <v>777</v>
      </c>
      <c r="S276" s="33">
        <f>511.48</f>
        <v>511.48</v>
      </c>
      <c r="T276" s="30">
        <f>29718310</f>
        <v>29718310</v>
      </c>
      <c r="U276" s="30">
        <f>375390</f>
        <v>375390</v>
      </c>
      <c r="V276" s="30">
        <f>15219034363</f>
        <v>15219034363</v>
      </c>
      <c r="W276" s="30">
        <f>205832043</f>
        <v>205832043</v>
      </c>
      <c r="X276" s="34">
        <f>19</f>
        <v>19</v>
      </c>
    </row>
    <row r="277" spans="1:24">
      <c r="A277" s="25" t="s">
        <v>1224</v>
      </c>
      <c r="B277" s="25" t="s">
        <v>558</v>
      </c>
      <c r="C277" s="25" t="s">
        <v>559</v>
      </c>
      <c r="D277" s="25" t="s">
        <v>560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1064</f>
        <v>1064</v>
      </c>
      <c r="L277" s="32" t="s">
        <v>1116</v>
      </c>
      <c r="M277" s="31">
        <f>1065</f>
        <v>1065</v>
      </c>
      <c r="N277" s="32" t="s">
        <v>1116</v>
      </c>
      <c r="O277" s="31">
        <f>1025.5</f>
        <v>1025.5</v>
      </c>
      <c r="P277" s="32" t="s">
        <v>1111</v>
      </c>
      <c r="Q277" s="31">
        <f>1041</f>
        <v>1041</v>
      </c>
      <c r="R277" s="32" t="s">
        <v>777</v>
      </c>
      <c r="S277" s="33">
        <f>1053.95</f>
        <v>1053.95</v>
      </c>
      <c r="T277" s="30">
        <f>459100</f>
        <v>459100</v>
      </c>
      <c r="U277" s="30">
        <f>113890</f>
        <v>113890</v>
      </c>
      <c r="V277" s="30">
        <f>482974916</f>
        <v>482974916</v>
      </c>
      <c r="W277" s="30">
        <f>120215631</f>
        <v>120215631</v>
      </c>
      <c r="X277" s="34">
        <f>19</f>
        <v>19</v>
      </c>
    </row>
    <row r="278" spans="1:24">
      <c r="A278" s="25" t="s">
        <v>1224</v>
      </c>
      <c r="B278" s="25" t="s">
        <v>561</v>
      </c>
      <c r="C278" s="25" t="s">
        <v>562</v>
      </c>
      <c r="D278" s="25" t="s">
        <v>563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1576</f>
        <v>1576</v>
      </c>
      <c r="L278" s="32" t="s">
        <v>1116</v>
      </c>
      <c r="M278" s="31">
        <f>1597</f>
        <v>1597</v>
      </c>
      <c r="N278" s="32" t="s">
        <v>1111</v>
      </c>
      <c r="O278" s="31">
        <f>1460</f>
        <v>1460</v>
      </c>
      <c r="P278" s="32" t="s">
        <v>876</v>
      </c>
      <c r="Q278" s="31">
        <f>1534</f>
        <v>1534</v>
      </c>
      <c r="R278" s="32" t="s">
        <v>777</v>
      </c>
      <c r="S278" s="33">
        <f>1522.11</f>
        <v>1522.11</v>
      </c>
      <c r="T278" s="30">
        <f>189013</f>
        <v>189013</v>
      </c>
      <c r="U278" s="30">
        <f>90000</f>
        <v>90000</v>
      </c>
      <c r="V278" s="30">
        <f>287836253</f>
        <v>287836253</v>
      </c>
      <c r="W278" s="30">
        <f>136111130</f>
        <v>136111130</v>
      </c>
      <c r="X278" s="34">
        <f>19</f>
        <v>19</v>
      </c>
    </row>
    <row r="279" spans="1:24">
      <c r="A279" s="25" t="s">
        <v>1224</v>
      </c>
      <c r="B279" s="25" t="s">
        <v>564</v>
      </c>
      <c r="C279" s="25" t="s">
        <v>565</v>
      </c>
      <c r="D279" s="25" t="s">
        <v>566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1081</f>
        <v>1081</v>
      </c>
      <c r="L279" s="32" t="s">
        <v>1116</v>
      </c>
      <c r="M279" s="31">
        <f>1082.5</f>
        <v>1082.5</v>
      </c>
      <c r="N279" s="32" t="s">
        <v>1116</v>
      </c>
      <c r="O279" s="31">
        <f>970</f>
        <v>970</v>
      </c>
      <c r="P279" s="32" t="s">
        <v>876</v>
      </c>
      <c r="Q279" s="31">
        <f>1025</f>
        <v>1025</v>
      </c>
      <c r="R279" s="32" t="s">
        <v>777</v>
      </c>
      <c r="S279" s="33">
        <f>1031.11</f>
        <v>1031.1099999999999</v>
      </c>
      <c r="T279" s="30">
        <f>218370</f>
        <v>218370</v>
      </c>
      <c r="U279" s="30">
        <f>66210</f>
        <v>66210</v>
      </c>
      <c r="V279" s="30">
        <f>224982988</f>
        <v>224982988</v>
      </c>
      <c r="W279" s="30">
        <f>68937660</f>
        <v>68937660</v>
      </c>
      <c r="X279" s="34">
        <f>19</f>
        <v>19</v>
      </c>
    </row>
    <row r="280" spans="1:24">
      <c r="A280" s="25" t="s">
        <v>1224</v>
      </c>
      <c r="B280" s="25" t="s">
        <v>567</v>
      </c>
      <c r="C280" s="25" t="s">
        <v>568</v>
      </c>
      <c r="D280" s="25" t="s">
        <v>569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1410</f>
        <v>1410</v>
      </c>
      <c r="L280" s="32" t="s">
        <v>1116</v>
      </c>
      <c r="M280" s="31">
        <f>1500.5</f>
        <v>1500.5</v>
      </c>
      <c r="N280" s="32" t="s">
        <v>1111</v>
      </c>
      <c r="O280" s="31">
        <f>1300.5</f>
        <v>1300.5</v>
      </c>
      <c r="P280" s="32" t="s">
        <v>684</v>
      </c>
      <c r="Q280" s="31">
        <f>1483</f>
        <v>1483</v>
      </c>
      <c r="R280" s="32" t="s">
        <v>777</v>
      </c>
      <c r="S280" s="33">
        <f>1373.29</f>
        <v>1373.29</v>
      </c>
      <c r="T280" s="30">
        <f>80520</f>
        <v>80520</v>
      </c>
      <c r="U280" s="30">
        <f>190</f>
        <v>190</v>
      </c>
      <c r="V280" s="30">
        <f>113706205</f>
        <v>113706205</v>
      </c>
      <c r="W280" s="30">
        <f>229805</f>
        <v>229805</v>
      </c>
      <c r="X280" s="34">
        <f>19</f>
        <v>19</v>
      </c>
    </row>
    <row r="281" spans="1:24">
      <c r="A281" s="25" t="s">
        <v>1224</v>
      </c>
      <c r="B281" s="25" t="s">
        <v>570</v>
      </c>
      <c r="C281" s="25" t="s">
        <v>571</v>
      </c>
      <c r="D281" s="25" t="s">
        <v>572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1729</f>
        <v>1729</v>
      </c>
      <c r="L281" s="32" t="s">
        <v>1116</v>
      </c>
      <c r="M281" s="31">
        <f>1760</f>
        <v>1760</v>
      </c>
      <c r="N281" s="32" t="s">
        <v>676</v>
      </c>
      <c r="O281" s="31">
        <f>1657.5</f>
        <v>1657.5</v>
      </c>
      <c r="P281" s="32" t="s">
        <v>876</v>
      </c>
      <c r="Q281" s="31">
        <f>1751</f>
        <v>1751</v>
      </c>
      <c r="R281" s="32" t="s">
        <v>777</v>
      </c>
      <c r="S281" s="33">
        <f>1718.89</f>
        <v>1718.89</v>
      </c>
      <c r="T281" s="30">
        <f>1641950</f>
        <v>1641950</v>
      </c>
      <c r="U281" s="30">
        <f>266740</f>
        <v>266740</v>
      </c>
      <c r="V281" s="30">
        <f>2814954510</f>
        <v>2814954510</v>
      </c>
      <c r="W281" s="30">
        <f>460003335</f>
        <v>460003335</v>
      </c>
      <c r="X281" s="34">
        <f>19</f>
        <v>19</v>
      </c>
    </row>
    <row r="282" spans="1:24">
      <c r="A282" s="25" t="s">
        <v>1224</v>
      </c>
      <c r="B282" s="25" t="s">
        <v>573</v>
      </c>
      <c r="C282" s="25" t="s">
        <v>574</v>
      </c>
      <c r="D282" s="25" t="s">
        <v>575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5170</f>
        <v>5170</v>
      </c>
      <c r="L282" s="32" t="s">
        <v>1116</v>
      </c>
      <c r="M282" s="31">
        <f>5250</f>
        <v>5250</v>
      </c>
      <c r="N282" s="32" t="s">
        <v>1111</v>
      </c>
      <c r="O282" s="31">
        <f>4650</f>
        <v>4650</v>
      </c>
      <c r="P282" s="32" t="s">
        <v>876</v>
      </c>
      <c r="Q282" s="31">
        <f>5080</f>
        <v>5080</v>
      </c>
      <c r="R282" s="32" t="s">
        <v>777</v>
      </c>
      <c r="S282" s="33">
        <f>4926.84</f>
        <v>4926.84</v>
      </c>
      <c r="T282" s="30">
        <f>213433</f>
        <v>213433</v>
      </c>
      <c r="U282" s="30">
        <f>165000</f>
        <v>165000</v>
      </c>
      <c r="V282" s="30">
        <f>1097808842</f>
        <v>1097808842</v>
      </c>
      <c r="W282" s="30">
        <f>859733127</f>
        <v>859733127</v>
      </c>
      <c r="X282" s="34">
        <f>19</f>
        <v>19</v>
      </c>
    </row>
    <row r="283" spans="1:24">
      <c r="A283" s="25" t="s">
        <v>1224</v>
      </c>
      <c r="B283" s="25" t="s">
        <v>576</v>
      </c>
      <c r="C283" s="25" t="s">
        <v>577</v>
      </c>
      <c r="D283" s="25" t="s">
        <v>578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2217.5</f>
        <v>2217.5</v>
      </c>
      <c r="L283" s="32" t="s">
        <v>1124</v>
      </c>
      <c r="M283" s="31">
        <f>2250</f>
        <v>2250</v>
      </c>
      <c r="N283" s="32" t="s">
        <v>676</v>
      </c>
      <c r="O283" s="31">
        <f>2166</f>
        <v>2166</v>
      </c>
      <c r="P283" s="32" t="s">
        <v>682</v>
      </c>
      <c r="Q283" s="31">
        <f>2250</f>
        <v>2250</v>
      </c>
      <c r="R283" s="32" t="s">
        <v>676</v>
      </c>
      <c r="S283" s="33">
        <f>2209.75</f>
        <v>2209.75</v>
      </c>
      <c r="T283" s="30">
        <f>290</f>
        <v>290</v>
      </c>
      <c r="U283" s="30" t="str">
        <f>"－"</f>
        <v>－</v>
      </c>
      <c r="V283" s="30">
        <f>637250</f>
        <v>637250</v>
      </c>
      <c r="W283" s="30" t="str">
        <f>"－"</f>
        <v>－</v>
      </c>
      <c r="X283" s="34">
        <f>4</f>
        <v>4</v>
      </c>
    </row>
    <row r="284" spans="1:24">
      <c r="A284" s="25" t="s">
        <v>1224</v>
      </c>
      <c r="B284" s="25" t="s">
        <v>579</v>
      </c>
      <c r="C284" s="25" t="s">
        <v>580</v>
      </c>
      <c r="D284" s="25" t="s">
        <v>581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2764.5</f>
        <v>2764.5</v>
      </c>
      <c r="L284" s="32" t="s">
        <v>1116</v>
      </c>
      <c r="M284" s="31">
        <f>2800</f>
        <v>2800</v>
      </c>
      <c r="N284" s="32" t="s">
        <v>1111</v>
      </c>
      <c r="O284" s="31">
        <f>2563.5</f>
        <v>2563.5</v>
      </c>
      <c r="P284" s="32" t="s">
        <v>684</v>
      </c>
      <c r="Q284" s="31">
        <f>2720</f>
        <v>2720</v>
      </c>
      <c r="R284" s="32" t="s">
        <v>777</v>
      </c>
      <c r="S284" s="33">
        <f>2682.38</f>
        <v>2682.38</v>
      </c>
      <c r="T284" s="30">
        <f>3460590</f>
        <v>3460590</v>
      </c>
      <c r="U284" s="30">
        <f>3076970</f>
        <v>3076970</v>
      </c>
      <c r="V284" s="30">
        <f>9405894112</f>
        <v>9405894112</v>
      </c>
      <c r="W284" s="30">
        <f>8368373592</f>
        <v>8368373592</v>
      </c>
      <c r="X284" s="34">
        <f>16</f>
        <v>16</v>
      </c>
    </row>
    <row r="285" spans="1:24">
      <c r="A285" s="25" t="s">
        <v>1224</v>
      </c>
      <c r="B285" s="25" t="s">
        <v>582</v>
      </c>
      <c r="C285" s="25" t="s">
        <v>583</v>
      </c>
      <c r="D285" s="25" t="s">
        <v>584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39070</f>
        <v>39070</v>
      </c>
      <c r="L285" s="32" t="s">
        <v>1116</v>
      </c>
      <c r="M285" s="31">
        <f>40020</f>
        <v>40020</v>
      </c>
      <c r="N285" s="32" t="s">
        <v>1111</v>
      </c>
      <c r="O285" s="31">
        <f>35350</f>
        <v>35350</v>
      </c>
      <c r="P285" s="32" t="s">
        <v>876</v>
      </c>
      <c r="Q285" s="31">
        <f>38160</f>
        <v>38160</v>
      </c>
      <c r="R285" s="32" t="s">
        <v>777</v>
      </c>
      <c r="S285" s="33">
        <f>37391.58</f>
        <v>37391.58</v>
      </c>
      <c r="T285" s="30">
        <f>187017</f>
        <v>187017</v>
      </c>
      <c r="U285" s="30">
        <f>34290</f>
        <v>34290</v>
      </c>
      <c r="V285" s="30">
        <f>7034049700</f>
        <v>7034049700</v>
      </c>
      <c r="W285" s="30">
        <f>1289864750</f>
        <v>1289864750</v>
      </c>
      <c r="X285" s="34">
        <f>19</f>
        <v>19</v>
      </c>
    </row>
    <row r="286" spans="1:24">
      <c r="A286" s="25" t="s">
        <v>1224</v>
      </c>
      <c r="B286" s="25" t="s">
        <v>585</v>
      </c>
      <c r="C286" s="25" t="s">
        <v>586</v>
      </c>
      <c r="D286" s="25" t="s">
        <v>587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25185</f>
        <v>25185</v>
      </c>
      <c r="L286" s="32" t="s">
        <v>1116</v>
      </c>
      <c r="M286" s="31">
        <f>25345</f>
        <v>25345</v>
      </c>
      <c r="N286" s="32" t="s">
        <v>1145</v>
      </c>
      <c r="O286" s="31">
        <f>23440</f>
        <v>23440</v>
      </c>
      <c r="P286" s="32" t="s">
        <v>684</v>
      </c>
      <c r="Q286" s="31">
        <f>24650</f>
        <v>24650</v>
      </c>
      <c r="R286" s="32" t="s">
        <v>777</v>
      </c>
      <c r="S286" s="33">
        <f>24291.25</f>
        <v>24291.25</v>
      </c>
      <c r="T286" s="30">
        <f>5009</f>
        <v>5009</v>
      </c>
      <c r="U286" s="30">
        <f>3000</f>
        <v>3000</v>
      </c>
      <c r="V286" s="30">
        <f>119971780</f>
        <v>119971780</v>
      </c>
      <c r="W286" s="30">
        <f>71419320</f>
        <v>71419320</v>
      </c>
      <c r="X286" s="34">
        <f>12</f>
        <v>12</v>
      </c>
    </row>
    <row r="287" spans="1:24">
      <c r="A287" s="25" t="s">
        <v>1224</v>
      </c>
      <c r="B287" s="25" t="s">
        <v>588</v>
      </c>
      <c r="C287" s="25" t="s">
        <v>589</v>
      </c>
      <c r="D287" s="25" t="s">
        <v>590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1067.5</f>
        <v>1067.5</v>
      </c>
      <c r="L287" s="32" t="s">
        <v>1116</v>
      </c>
      <c r="M287" s="31">
        <f>1072</f>
        <v>1072</v>
      </c>
      <c r="N287" s="32" t="s">
        <v>1145</v>
      </c>
      <c r="O287" s="31">
        <f>1034</f>
        <v>1034</v>
      </c>
      <c r="P287" s="32" t="s">
        <v>1111</v>
      </c>
      <c r="Q287" s="31">
        <f>1050.5</f>
        <v>1050.5</v>
      </c>
      <c r="R287" s="32" t="s">
        <v>777</v>
      </c>
      <c r="S287" s="33">
        <f>1060.38</f>
        <v>1060.3800000000001</v>
      </c>
      <c r="T287" s="30">
        <f>230960</f>
        <v>230960</v>
      </c>
      <c r="U287" s="30" t="str">
        <f>"－"</f>
        <v>－</v>
      </c>
      <c r="V287" s="30">
        <f>244607150</f>
        <v>244607150</v>
      </c>
      <c r="W287" s="30" t="str">
        <f>"－"</f>
        <v>－</v>
      </c>
      <c r="X287" s="34">
        <f>17</f>
        <v>17</v>
      </c>
    </row>
    <row r="288" spans="1:24">
      <c r="A288" s="25" t="s">
        <v>1224</v>
      </c>
      <c r="B288" s="25" t="s">
        <v>591</v>
      </c>
      <c r="C288" s="25" t="s">
        <v>946</v>
      </c>
      <c r="D288" s="25" t="s">
        <v>947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1071</f>
        <v>1071</v>
      </c>
      <c r="L288" s="32" t="s">
        <v>1116</v>
      </c>
      <c r="M288" s="31">
        <f>1071</f>
        <v>1071</v>
      </c>
      <c r="N288" s="32" t="s">
        <v>1116</v>
      </c>
      <c r="O288" s="31">
        <f>1033</f>
        <v>1033</v>
      </c>
      <c r="P288" s="32" t="s">
        <v>777</v>
      </c>
      <c r="Q288" s="31">
        <f>1033</f>
        <v>1033</v>
      </c>
      <c r="R288" s="32" t="s">
        <v>777</v>
      </c>
      <c r="S288" s="33">
        <f>1050</f>
        <v>1050</v>
      </c>
      <c r="T288" s="30">
        <f>193182</f>
        <v>193182</v>
      </c>
      <c r="U288" s="30">
        <f>95002</f>
        <v>95002</v>
      </c>
      <c r="V288" s="30">
        <f>202477556</f>
        <v>202477556</v>
      </c>
      <c r="W288" s="30">
        <f>99333059</f>
        <v>99333059</v>
      </c>
      <c r="X288" s="34">
        <f>19</f>
        <v>19</v>
      </c>
    </row>
    <row r="289" spans="1:24">
      <c r="A289" s="25" t="s">
        <v>1224</v>
      </c>
      <c r="B289" s="25" t="s">
        <v>592</v>
      </c>
      <c r="C289" s="25" t="s">
        <v>593</v>
      </c>
      <c r="D289" s="25" t="s">
        <v>594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1702</f>
        <v>1702</v>
      </c>
      <c r="L289" s="32" t="s">
        <v>1116</v>
      </c>
      <c r="M289" s="31">
        <f>1724</f>
        <v>1724</v>
      </c>
      <c r="N289" s="32" t="s">
        <v>1111</v>
      </c>
      <c r="O289" s="31">
        <f>1584</f>
        <v>1584</v>
      </c>
      <c r="P289" s="32" t="s">
        <v>684</v>
      </c>
      <c r="Q289" s="31">
        <f>1677</f>
        <v>1677</v>
      </c>
      <c r="R289" s="32" t="s">
        <v>777</v>
      </c>
      <c r="S289" s="33">
        <f>1655.74</f>
        <v>1655.74</v>
      </c>
      <c r="T289" s="30">
        <f>510591</f>
        <v>510591</v>
      </c>
      <c r="U289" s="30">
        <f>135870</f>
        <v>135870</v>
      </c>
      <c r="V289" s="30">
        <f>835260770</f>
        <v>835260770</v>
      </c>
      <c r="W289" s="30">
        <f>219501422</f>
        <v>219501422</v>
      </c>
      <c r="X289" s="34">
        <f>19</f>
        <v>19</v>
      </c>
    </row>
    <row r="290" spans="1:24">
      <c r="A290" s="25" t="s">
        <v>1224</v>
      </c>
      <c r="B290" s="25" t="s">
        <v>595</v>
      </c>
      <c r="C290" s="25" t="s">
        <v>596</v>
      </c>
      <c r="D290" s="25" t="s">
        <v>597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12320</f>
        <v>12320</v>
      </c>
      <c r="L290" s="32" t="s">
        <v>1116</v>
      </c>
      <c r="M290" s="31">
        <f>16905</f>
        <v>16905</v>
      </c>
      <c r="N290" s="32" t="s">
        <v>777</v>
      </c>
      <c r="O290" s="31">
        <f>11440</f>
        <v>11440</v>
      </c>
      <c r="P290" s="32" t="s">
        <v>1123</v>
      </c>
      <c r="Q290" s="31">
        <f>16905</f>
        <v>16905</v>
      </c>
      <c r="R290" s="32" t="s">
        <v>777</v>
      </c>
      <c r="S290" s="33">
        <f>12349.74</f>
        <v>12349.74</v>
      </c>
      <c r="T290" s="30">
        <f>4259</f>
        <v>4259</v>
      </c>
      <c r="U290" s="30" t="str">
        <f>"－"</f>
        <v>－</v>
      </c>
      <c r="V290" s="30">
        <f>62191785</f>
        <v>62191785</v>
      </c>
      <c r="W290" s="30" t="str">
        <f>"－"</f>
        <v>－</v>
      </c>
      <c r="X290" s="34">
        <f>19</f>
        <v>19</v>
      </c>
    </row>
    <row r="291" spans="1:24">
      <c r="A291" s="25" t="s">
        <v>1224</v>
      </c>
      <c r="B291" s="25" t="s">
        <v>598</v>
      </c>
      <c r="C291" s="25" t="s">
        <v>599</v>
      </c>
      <c r="D291" s="25" t="s">
        <v>600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1914</f>
        <v>1914</v>
      </c>
      <c r="L291" s="32" t="s">
        <v>1116</v>
      </c>
      <c r="M291" s="31">
        <f>1915</f>
        <v>1915</v>
      </c>
      <c r="N291" s="32" t="s">
        <v>680</v>
      </c>
      <c r="O291" s="31">
        <f>1847</f>
        <v>1847</v>
      </c>
      <c r="P291" s="32" t="s">
        <v>876</v>
      </c>
      <c r="Q291" s="31">
        <f>1873</f>
        <v>1873</v>
      </c>
      <c r="R291" s="32" t="s">
        <v>777</v>
      </c>
      <c r="S291" s="33">
        <f>1889.79</f>
        <v>1889.79</v>
      </c>
      <c r="T291" s="30">
        <f>54271</f>
        <v>54271</v>
      </c>
      <c r="U291" s="30">
        <f>26422</f>
        <v>26422</v>
      </c>
      <c r="V291" s="30">
        <f>102656219</f>
        <v>102656219</v>
      </c>
      <c r="W291" s="30">
        <f>50003638</f>
        <v>50003638</v>
      </c>
      <c r="X291" s="34">
        <f>19</f>
        <v>19</v>
      </c>
    </row>
    <row r="292" spans="1:24">
      <c r="A292" s="25" t="s">
        <v>1224</v>
      </c>
      <c r="B292" s="25" t="s">
        <v>601</v>
      </c>
      <c r="C292" s="25" t="s">
        <v>602</v>
      </c>
      <c r="D292" s="25" t="s">
        <v>603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10</v>
      </c>
      <c r="K292" s="31">
        <f>1324</f>
        <v>1324</v>
      </c>
      <c r="L292" s="32" t="s">
        <v>674</v>
      </c>
      <c r="M292" s="31">
        <f>1999</f>
        <v>1999</v>
      </c>
      <c r="N292" s="32" t="s">
        <v>777</v>
      </c>
      <c r="O292" s="31">
        <f>1219.5</f>
        <v>1219.5</v>
      </c>
      <c r="P292" s="32" t="s">
        <v>1118</v>
      </c>
      <c r="Q292" s="31">
        <f>1999</f>
        <v>1999</v>
      </c>
      <c r="R292" s="32" t="s">
        <v>777</v>
      </c>
      <c r="S292" s="33">
        <f>1399.27</f>
        <v>1399.27</v>
      </c>
      <c r="T292" s="30">
        <f>16230</f>
        <v>16230</v>
      </c>
      <c r="U292" s="30" t="str">
        <f>"－"</f>
        <v>－</v>
      </c>
      <c r="V292" s="30">
        <f>26822700</f>
        <v>26822700</v>
      </c>
      <c r="W292" s="30" t="str">
        <f>"－"</f>
        <v>－</v>
      </c>
      <c r="X292" s="34">
        <f>11</f>
        <v>11</v>
      </c>
    </row>
    <row r="293" spans="1:24">
      <c r="A293" s="25" t="s">
        <v>1224</v>
      </c>
      <c r="B293" s="25" t="s">
        <v>604</v>
      </c>
      <c r="C293" s="25" t="s">
        <v>685</v>
      </c>
      <c r="D293" s="25" t="s">
        <v>686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821</f>
        <v>821</v>
      </c>
      <c r="L293" s="32" t="s">
        <v>1116</v>
      </c>
      <c r="M293" s="31">
        <f>824</f>
        <v>824</v>
      </c>
      <c r="N293" s="32" t="s">
        <v>683</v>
      </c>
      <c r="O293" s="31">
        <f>808.5</f>
        <v>808.5</v>
      </c>
      <c r="P293" s="32" t="s">
        <v>674</v>
      </c>
      <c r="Q293" s="31">
        <f>813.8</f>
        <v>813.8</v>
      </c>
      <c r="R293" s="32" t="s">
        <v>777</v>
      </c>
      <c r="S293" s="33">
        <f>812.83</f>
        <v>812.83</v>
      </c>
      <c r="T293" s="30">
        <f>1432340</f>
        <v>1432340</v>
      </c>
      <c r="U293" s="30">
        <f>1330130</f>
        <v>1330130</v>
      </c>
      <c r="V293" s="30">
        <f>1164937574</f>
        <v>1164937574</v>
      </c>
      <c r="W293" s="30">
        <f>1081889478</f>
        <v>1081889478</v>
      </c>
      <c r="X293" s="34">
        <f>19</f>
        <v>19</v>
      </c>
    </row>
    <row r="294" spans="1:24">
      <c r="A294" s="25" t="s">
        <v>1224</v>
      </c>
      <c r="B294" s="25" t="s">
        <v>605</v>
      </c>
      <c r="C294" s="25" t="s">
        <v>606</v>
      </c>
      <c r="D294" s="25" t="s">
        <v>607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1849.5</f>
        <v>1849.5</v>
      </c>
      <c r="L294" s="32" t="s">
        <v>1116</v>
      </c>
      <c r="M294" s="31">
        <f>1849.5</f>
        <v>1849.5</v>
      </c>
      <c r="N294" s="32" t="s">
        <v>1116</v>
      </c>
      <c r="O294" s="31">
        <f>1670</f>
        <v>1670</v>
      </c>
      <c r="P294" s="32" t="s">
        <v>1111</v>
      </c>
      <c r="Q294" s="31">
        <f>1789</f>
        <v>1789</v>
      </c>
      <c r="R294" s="32" t="s">
        <v>777</v>
      </c>
      <c r="S294" s="33">
        <f>1809.79</f>
        <v>1809.79</v>
      </c>
      <c r="T294" s="30">
        <f>897730</f>
        <v>897730</v>
      </c>
      <c r="U294" s="30">
        <f>763140</f>
        <v>763140</v>
      </c>
      <c r="V294" s="30">
        <f>1628048556</f>
        <v>1628048556</v>
      </c>
      <c r="W294" s="30">
        <f>1385852676</f>
        <v>1385852676</v>
      </c>
      <c r="X294" s="34">
        <f>19</f>
        <v>19</v>
      </c>
    </row>
    <row r="295" spans="1:24">
      <c r="A295" s="25" t="s">
        <v>1224</v>
      </c>
      <c r="B295" s="25" t="s">
        <v>608</v>
      </c>
      <c r="C295" s="25" t="s">
        <v>609</v>
      </c>
      <c r="D295" s="25" t="s">
        <v>610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1830</f>
        <v>1830</v>
      </c>
      <c r="L295" s="32" t="s">
        <v>1116</v>
      </c>
      <c r="M295" s="31">
        <f>1830</f>
        <v>1830</v>
      </c>
      <c r="N295" s="32" t="s">
        <v>1116</v>
      </c>
      <c r="O295" s="31">
        <f>1782.5</f>
        <v>1782.5</v>
      </c>
      <c r="P295" s="32" t="s">
        <v>777</v>
      </c>
      <c r="Q295" s="31">
        <f>1783</f>
        <v>1783</v>
      </c>
      <c r="R295" s="32" t="s">
        <v>777</v>
      </c>
      <c r="S295" s="33">
        <f>1806.92</f>
        <v>1806.92</v>
      </c>
      <c r="T295" s="30">
        <f>290040</f>
        <v>290040</v>
      </c>
      <c r="U295" s="30">
        <f>11960</f>
        <v>11960</v>
      </c>
      <c r="V295" s="30">
        <f>522829269</f>
        <v>522829269</v>
      </c>
      <c r="W295" s="30">
        <f>21571569</f>
        <v>21571569</v>
      </c>
      <c r="X295" s="34">
        <f>19</f>
        <v>19</v>
      </c>
    </row>
    <row r="296" spans="1:24">
      <c r="A296" s="25" t="s">
        <v>1224</v>
      </c>
      <c r="B296" s="25" t="s">
        <v>611</v>
      </c>
      <c r="C296" s="25" t="s">
        <v>612</v>
      </c>
      <c r="D296" s="25" t="s">
        <v>613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2762.5</f>
        <v>2762.5</v>
      </c>
      <c r="L296" s="32" t="s">
        <v>1116</v>
      </c>
      <c r="M296" s="31">
        <f>2792.5</f>
        <v>2792.5</v>
      </c>
      <c r="N296" s="32" t="s">
        <v>1111</v>
      </c>
      <c r="O296" s="31">
        <f>2545</f>
        <v>2545</v>
      </c>
      <c r="P296" s="32" t="s">
        <v>684</v>
      </c>
      <c r="Q296" s="31">
        <f>2785</f>
        <v>2785</v>
      </c>
      <c r="R296" s="32" t="s">
        <v>777</v>
      </c>
      <c r="S296" s="33">
        <f>2664.18</f>
        <v>2664.18</v>
      </c>
      <c r="T296" s="30">
        <f>1366600</f>
        <v>1366600</v>
      </c>
      <c r="U296" s="30">
        <f>406000</f>
        <v>406000</v>
      </c>
      <c r="V296" s="30">
        <f>3581981950</f>
        <v>3581981950</v>
      </c>
      <c r="W296" s="30">
        <f>1052488500</f>
        <v>1052488500</v>
      </c>
      <c r="X296" s="34">
        <f>19</f>
        <v>19</v>
      </c>
    </row>
    <row r="297" spans="1:24">
      <c r="A297" s="25" t="s">
        <v>1224</v>
      </c>
      <c r="B297" s="25" t="s">
        <v>614</v>
      </c>
      <c r="C297" s="25" t="s">
        <v>615</v>
      </c>
      <c r="D297" s="25" t="s">
        <v>616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23755</f>
        <v>23755</v>
      </c>
      <c r="L297" s="32" t="s">
        <v>1116</v>
      </c>
      <c r="M297" s="31">
        <f>24245</f>
        <v>24245</v>
      </c>
      <c r="N297" s="32" t="s">
        <v>1111</v>
      </c>
      <c r="O297" s="31">
        <f>22130</f>
        <v>22130</v>
      </c>
      <c r="P297" s="32" t="s">
        <v>684</v>
      </c>
      <c r="Q297" s="31">
        <f>23390</f>
        <v>23390</v>
      </c>
      <c r="R297" s="32" t="s">
        <v>777</v>
      </c>
      <c r="S297" s="33">
        <f>23141.32</f>
        <v>23141.32</v>
      </c>
      <c r="T297" s="30">
        <f>810712</f>
        <v>810712</v>
      </c>
      <c r="U297" s="30">
        <f>59638</f>
        <v>59638</v>
      </c>
      <c r="V297" s="30">
        <f>18825196243</f>
        <v>18825196243</v>
      </c>
      <c r="W297" s="30">
        <f>1401957108</f>
        <v>1401957108</v>
      </c>
      <c r="X297" s="34">
        <f>19</f>
        <v>19</v>
      </c>
    </row>
    <row r="298" spans="1:24">
      <c r="A298" s="25" t="s">
        <v>1224</v>
      </c>
      <c r="B298" s="25" t="s">
        <v>617</v>
      </c>
      <c r="C298" s="25" t="s">
        <v>618</v>
      </c>
      <c r="D298" s="25" t="s">
        <v>619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20025</f>
        <v>20025</v>
      </c>
      <c r="L298" s="32" t="s">
        <v>1116</v>
      </c>
      <c r="M298" s="31">
        <f>20540</f>
        <v>20540</v>
      </c>
      <c r="N298" s="32" t="s">
        <v>1111</v>
      </c>
      <c r="O298" s="31">
        <f>18650</f>
        <v>18650</v>
      </c>
      <c r="P298" s="32" t="s">
        <v>684</v>
      </c>
      <c r="Q298" s="31">
        <f>19915</f>
        <v>19915</v>
      </c>
      <c r="R298" s="32" t="s">
        <v>777</v>
      </c>
      <c r="S298" s="33">
        <f>19535</f>
        <v>19535</v>
      </c>
      <c r="T298" s="30">
        <f>234372</f>
        <v>234372</v>
      </c>
      <c r="U298" s="30">
        <f>1086</f>
        <v>1086</v>
      </c>
      <c r="V298" s="30">
        <f>4592527941</f>
        <v>4592527941</v>
      </c>
      <c r="W298" s="30">
        <f>21156021</f>
        <v>21156021</v>
      </c>
      <c r="X298" s="34">
        <f>19</f>
        <v>19</v>
      </c>
    </row>
    <row r="299" spans="1:24">
      <c r="A299" s="25" t="s">
        <v>1224</v>
      </c>
      <c r="B299" s="25" t="s">
        <v>620</v>
      </c>
      <c r="C299" s="25" t="s">
        <v>621</v>
      </c>
      <c r="D299" s="25" t="s">
        <v>622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36260</f>
        <v>36260</v>
      </c>
      <c r="L299" s="32" t="s">
        <v>1116</v>
      </c>
      <c r="M299" s="31">
        <f>36650</f>
        <v>36650</v>
      </c>
      <c r="N299" s="32" t="s">
        <v>1111</v>
      </c>
      <c r="O299" s="31">
        <f>33270</f>
        <v>33270</v>
      </c>
      <c r="P299" s="32" t="s">
        <v>777</v>
      </c>
      <c r="Q299" s="31">
        <f>35350</f>
        <v>35350</v>
      </c>
      <c r="R299" s="32" t="s">
        <v>777</v>
      </c>
      <c r="S299" s="33">
        <f>34835</f>
        <v>34835</v>
      </c>
      <c r="T299" s="30">
        <f>104</f>
        <v>104</v>
      </c>
      <c r="U299" s="30" t="str">
        <f>"－"</f>
        <v>－</v>
      </c>
      <c r="V299" s="30">
        <f>3616020</f>
        <v>3616020</v>
      </c>
      <c r="W299" s="30" t="str">
        <f>"－"</f>
        <v>－</v>
      </c>
      <c r="X299" s="34">
        <f>16</f>
        <v>16</v>
      </c>
    </row>
    <row r="300" spans="1:24">
      <c r="A300" s="25" t="s">
        <v>1224</v>
      </c>
      <c r="B300" s="25" t="s">
        <v>623</v>
      </c>
      <c r="C300" s="25" t="s">
        <v>624</v>
      </c>
      <c r="D300" s="25" t="s">
        <v>625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2375</f>
        <v>2375</v>
      </c>
      <c r="L300" s="32" t="s">
        <v>1116</v>
      </c>
      <c r="M300" s="31">
        <f>2393</f>
        <v>2393</v>
      </c>
      <c r="N300" s="32" t="s">
        <v>678</v>
      </c>
      <c r="O300" s="31">
        <f>2357</f>
        <v>2357</v>
      </c>
      <c r="P300" s="32" t="s">
        <v>675</v>
      </c>
      <c r="Q300" s="31">
        <f>2376</f>
        <v>2376</v>
      </c>
      <c r="R300" s="32" t="s">
        <v>777</v>
      </c>
      <c r="S300" s="33">
        <f>2377.16</f>
        <v>2377.16</v>
      </c>
      <c r="T300" s="30">
        <f>763820</f>
        <v>763820</v>
      </c>
      <c r="U300" s="30">
        <f>562672</f>
        <v>562672</v>
      </c>
      <c r="V300" s="30">
        <f>1813300896</f>
        <v>1813300896</v>
      </c>
      <c r="W300" s="30">
        <f>1334974521</f>
        <v>1334974521</v>
      </c>
      <c r="X300" s="34">
        <f>19</f>
        <v>19</v>
      </c>
    </row>
    <row r="301" spans="1:24">
      <c r="A301" s="25" t="s">
        <v>1224</v>
      </c>
      <c r="B301" s="25" t="s">
        <v>626</v>
      </c>
      <c r="C301" s="25" t="s">
        <v>627</v>
      </c>
      <c r="D301" s="25" t="s">
        <v>628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3133</f>
        <v>3133</v>
      </c>
      <c r="L301" s="32" t="s">
        <v>1116</v>
      </c>
      <c r="M301" s="31">
        <f>3181</f>
        <v>3181</v>
      </c>
      <c r="N301" s="32" t="s">
        <v>777</v>
      </c>
      <c r="O301" s="31">
        <f>3040</f>
        <v>3040</v>
      </c>
      <c r="P301" s="32" t="s">
        <v>876</v>
      </c>
      <c r="Q301" s="31">
        <f>3178</f>
        <v>3178</v>
      </c>
      <c r="R301" s="32" t="s">
        <v>777</v>
      </c>
      <c r="S301" s="33">
        <f>3119.89</f>
        <v>3119.89</v>
      </c>
      <c r="T301" s="30">
        <f>248780</f>
        <v>248780</v>
      </c>
      <c r="U301" s="30">
        <f>32790</f>
        <v>32790</v>
      </c>
      <c r="V301" s="30">
        <f>777075890</f>
        <v>777075890</v>
      </c>
      <c r="W301" s="30">
        <f>102767410</f>
        <v>102767410</v>
      </c>
      <c r="X301" s="34">
        <f>19</f>
        <v>19</v>
      </c>
    </row>
    <row r="302" spans="1:24">
      <c r="A302" s="25" t="s">
        <v>1224</v>
      </c>
      <c r="B302" s="25" t="s">
        <v>629</v>
      </c>
      <c r="C302" s="25" t="s">
        <v>630</v>
      </c>
      <c r="D302" s="25" t="s">
        <v>631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321.9</f>
        <v>321.89999999999998</v>
      </c>
      <c r="L302" s="32" t="s">
        <v>1116</v>
      </c>
      <c r="M302" s="31">
        <f>342.6</f>
        <v>342.6</v>
      </c>
      <c r="N302" s="32" t="s">
        <v>1111</v>
      </c>
      <c r="O302" s="31">
        <f>308.8</f>
        <v>308.8</v>
      </c>
      <c r="P302" s="32" t="s">
        <v>876</v>
      </c>
      <c r="Q302" s="31">
        <f>325.9</f>
        <v>325.89999999999998</v>
      </c>
      <c r="R302" s="32" t="s">
        <v>777</v>
      </c>
      <c r="S302" s="33">
        <f>320.06</f>
        <v>320.06</v>
      </c>
      <c r="T302" s="30">
        <f>42790900</f>
        <v>42790900</v>
      </c>
      <c r="U302" s="30">
        <f>13271540</f>
        <v>13271540</v>
      </c>
      <c r="V302" s="30">
        <f>13724275786</f>
        <v>13724275786</v>
      </c>
      <c r="W302" s="30">
        <f>4264193569</f>
        <v>4264193569</v>
      </c>
      <c r="X302" s="34">
        <f>19</f>
        <v>19</v>
      </c>
    </row>
    <row r="303" spans="1:24">
      <c r="A303" s="25" t="s">
        <v>1224</v>
      </c>
      <c r="B303" s="25" t="s">
        <v>632</v>
      </c>
      <c r="C303" s="25" t="s">
        <v>633</v>
      </c>
      <c r="D303" s="25" t="s">
        <v>634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2839</f>
        <v>2839</v>
      </c>
      <c r="L303" s="32" t="s">
        <v>1116</v>
      </c>
      <c r="M303" s="31">
        <f>2840</f>
        <v>2840</v>
      </c>
      <c r="N303" s="32" t="s">
        <v>1116</v>
      </c>
      <c r="O303" s="31">
        <f>2632</f>
        <v>2632</v>
      </c>
      <c r="P303" s="32" t="s">
        <v>684</v>
      </c>
      <c r="Q303" s="31">
        <f>2761</f>
        <v>2761</v>
      </c>
      <c r="R303" s="32" t="s">
        <v>777</v>
      </c>
      <c r="S303" s="33">
        <f>2738.47</f>
        <v>2738.47</v>
      </c>
      <c r="T303" s="30">
        <f>7761605</f>
        <v>7761605</v>
      </c>
      <c r="U303" s="30">
        <f>2043851</f>
        <v>2043851</v>
      </c>
      <c r="V303" s="30">
        <f>21164205402</f>
        <v>21164205402</v>
      </c>
      <c r="W303" s="30">
        <f>5564528320</f>
        <v>5564528320</v>
      </c>
      <c r="X303" s="34">
        <f>19</f>
        <v>19</v>
      </c>
    </row>
    <row r="304" spans="1:24">
      <c r="A304" s="25" t="s">
        <v>1224</v>
      </c>
      <c r="B304" s="25" t="s">
        <v>635</v>
      </c>
      <c r="C304" s="25" t="s">
        <v>636</v>
      </c>
      <c r="D304" s="25" t="s">
        <v>637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884</f>
        <v>884</v>
      </c>
      <c r="L304" s="32" t="s">
        <v>1116</v>
      </c>
      <c r="M304" s="31">
        <f>895</f>
        <v>895</v>
      </c>
      <c r="N304" s="32" t="s">
        <v>759</v>
      </c>
      <c r="O304" s="31">
        <f>864</f>
        <v>864</v>
      </c>
      <c r="P304" s="32" t="s">
        <v>777</v>
      </c>
      <c r="Q304" s="31">
        <f>866</f>
        <v>866</v>
      </c>
      <c r="R304" s="32" t="s">
        <v>777</v>
      </c>
      <c r="S304" s="33">
        <f>882.74</f>
        <v>882.74</v>
      </c>
      <c r="T304" s="30">
        <f>440930</f>
        <v>440930</v>
      </c>
      <c r="U304" s="30">
        <f>200023</f>
        <v>200023</v>
      </c>
      <c r="V304" s="30">
        <f>388201383</f>
        <v>388201383</v>
      </c>
      <c r="W304" s="30">
        <f>176700146</f>
        <v>176700146</v>
      </c>
      <c r="X304" s="34">
        <f>19</f>
        <v>19</v>
      </c>
    </row>
    <row r="305" spans="1:24">
      <c r="A305" s="25" t="s">
        <v>1224</v>
      </c>
      <c r="B305" s="25" t="s">
        <v>638</v>
      </c>
      <c r="C305" s="25" t="s">
        <v>639</v>
      </c>
      <c r="D305" s="25" t="s">
        <v>640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10</v>
      </c>
      <c r="K305" s="31">
        <f>991.9</f>
        <v>991.9</v>
      </c>
      <c r="L305" s="32" t="s">
        <v>1116</v>
      </c>
      <c r="M305" s="31">
        <f>1009.5</f>
        <v>1009.5</v>
      </c>
      <c r="N305" s="32" t="s">
        <v>683</v>
      </c>
      <c r="O305" s="31">
        <f>980.4</f>
        <v>980.4</v>
      </c>
      <c r="P305" s="32" t="s">
        <v>777</v>
      </c>
      <c r="Q305" s="31">
        <f>980.5</f>
        <v>980.5</v>
      </c>
      <c r="R305" s="32" t="s">
        <v>777</v>
      </c>
      <c r="S305" s="33">
        <f>993.17</f>
        <v>993.17</v>
      </c>
      <c r="T305" s="30">
        <f>87340</f>
        <v>87340</v>
      </c>
      <c r="U305" s="30">
        <f>60</f>
        <v>60</v>
      </c>
      <c r="V305" s="30">
        <f>87044956</f>
        <v>87044956</v>
      </c>
      <c r="W305" s="30">
        <f>59921</f>
        <v>59921</v>
      </c>
      <c r="X305" s="34">
        <f>19</f>
        <v>19</v>
      </c>
    </row>
    <row r="306" spans="1:24">
      <c r="A306" s="25" t="s">
        <v>1224</v>
      </c>
      <c r="B306" s="25" t="s">
        <v>641</v>
      </c>
      <c r="C306" s="25" t="s">
        <v>642</v>
      </c>
      <c r="D306" s="25" t="s">
        <v>643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10</v>
      </c>
      <c r="K306" s="31">
        <f>349.2</f>
        <v>349.2</v>
      </c>
      <c r="L306" s="32" t="s">
        <v>1116</v>
      </c>
      <c r="M306" s="31">
        <f>360</f>
        <v>360</v>
      </c>
      <c r="N306" s="32" t="s">
        <v>1111</v>
      </c>
      <c r="O306" s="31">
        <f>306</f>
        <v>306</v>
      </c>
      <c r="P306" s="32" t="s">
        <v>876</v>
      </c>
      <c r="Q306" s="31">
        <f>356.2</f>
        <v>356.2</v>
      </c>
      <c r="R306" s="32" t="s">
        <v>777</v>
      </c>
      <c r="S306" s="33">
        <f>341.14</f>
        <v>341.14</v>
      </c>
      <c r="T306" s="30">
        <f>4860</f>
        <v>4860</v>
      </c>
      <c r="U306" s="30" t="str">
        <f>"－"</f>
        <v>－</v>
      </c>
      <c r="V306" s="30">
        <f>1641623</f>
        <v>1641623</v>
      </c>
      <c r="W306" s="30" t="str">
        <f>"－"</f>
        <v>－</v>
      </c>
      <c r="X306" s="34">
        <f>19</f>
        <v>19</v>
      </c>
    </row>
    <row r="307" spans="1:24">
      <c r="A307" s="25" t="s">
        <v>1224</v>
      </c>
      <c r="B307" s="25" t="s">
        <v>644</v>
      </c>
      <c r="C307" s="25" t="s">
        <v>645</v>
      </c>
      <c r="D307" s="25" t="s">
        <v>646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10</v>
      </c>
      <c r="K307" s="31">
        <f>4915</f>
        <v>4915</v>
      </c>
      <c r="L307" s="32" t="s">
        <v>1116</v>
      </c>
      <c r="M307" s="31">
        <f>5065</f>
        <v>5065</v>
      </c>
      <c r="N307" s="32" t="s">
        <v>1111</v>
      </c>
      <c r="O307" s="31">
        <f>4508</f>
        <v>4508</v>
      </c>
      <c r="P307" s="32" t="s">
        <v>876</v>
      </c>
      <c r="Q307" s="31">
        <f>4857</f>
        <v>4857</v>
      </c>
      <c r="R307" s="32" t="s">
        <v>777</v>
      </c>
      <c r="S307" s="33">
        <f>4773.16</f>
        <v>4773.16</v>
      </c>
      <c r="T307" s="30">
        <f>1824530</f>
        <v>1824530</v>
      </c>
      <c r="U307" s="30">
        <f>430210</f>
        <v>430210</v>
      </c>
      <c r="V307" s="30">
        <f>8640353760</f>
        <v>8640353760</v>
      </c>
      <c r="W307" s="30">
        <f>2030035000</f>
        <v>2030035000</v>
      </c>
      <c r="X307" s="34">
        <f>19</f>
        <v>19</v>
      </c>
    </row>
    <row r="308" spans="1:24">
      <c r="A308" s="25" t="s">
        <v>1224</v>
      </c>
      <c r="B308" s="25" t="s">
        <v>647</v>
      </c>
      <c r="C308" s="25" t="s">
        <v>648</v>
      </c>
      <c r="D308" s="25" t="s">
        <v>649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10</v>
      </c>
      <c r="K308" s="31">
        <f>3074</f>
        <v>3074</v>
      </c>
      <c r="L308" s="32" t="s">
        <v>1116</v>
      </c>
      <c r="M308" s="31">
        <f>3217</f>
        <v>3217</v>
      </c>
      <c r="N308" s="32" t="s">
        <v>1111</v>
      </c>
      <c r="O308" s="31">
        <f>2898.5</f>
        <v>2898.5</v>
      </c>
      <c r="P308" s="32" t="s">
        <v>876</v>
      </c>
      <c r="Q308" s="31">
        <f>3126</f>
        <v>3126</v>
      </c>
      <c r="R308" s="32" t="s">
        <v>777</v>
      </c>
      <c r="S308" s="33">
        <f>3045.45</f>
        <v>3045.45</v>
      </c>
      <c r="T308" s="30">
        <f>2569950</f>
        <v>2569950</v>
      </c>
      <c r="U308" s="30">
        <f>1172630</f>
        <v>1172630</v>
      </c>
      <c r="V308" s="30">
        <f>7847672270</f>
        <v>7847672270</v>
      </c>
      <c r="W308" s="30">
        <f>3631208395</f>
        <v>3631208395</v>
      </c>
      <c r="X308" s="34">
        <f>19</f>
        <v>19</v>
      </c>
    </row>
    <row r="309" spans="1:24">
      <c r="A309" s="25" t="s">
        <v>1224</v>
      </c>
      <c r="B309" s="25" t="s">
        <v>1225</v>
      </c>
      <c r="C309" s="25" t="s">
        <v>1226</v>
      </c>
      <c r="D309" s="25" t="s">
        <v>1227</v>
      </c>
      <c r="E309" s="26" t="s">
        <v>672</v>
      </c>
      <c r="F309" s="27" t="s">
        <v>673</v>
      </c>
      <c r="G309" s="28" t="s">
        <v>1228</v>
      </c>
      <c r="H309" s="29"/>
      <c r="I309" s="29" t="s">
        <v>44</v>
      </c>
      <c r="J309" s="30">
        <v>1</v>
      </c>
      <c r="K309" s="31">
        <f>2075</f>
        <v>2075</v>
      </c>
      <c r="L309" s="32" t="s">
        <v>683</v>
      </c>
      <c r="M309" s="31">
        <f>2136</f>
        <v>2136</v>
      </c>
      <c r="N309" s="32" t="s">
        <v>1111</v>
      </c>
      <c r="O309" s="31">
        <f>2018</f>
        <v>2018</v>
      </c>
      <c r="P309" s="32" t="s">
        <v>679</v>
      </c>
      <c r="Q309" s="31">
        <f>2040</f>
        <v>2040</v>
      </c>
      <c r="R309" s="32" t="s">
        <v>777</v>
      </c>
      <c r="S309" s="33">
        <f>2060.2</f>
        <v>2060.1999999999998</v>
      </c>
      <c r="T309" s="30">
        <f>7370</f>
        <v>7370</v>
      </c>
      <c r="U309" s="30" t="str">
        <f>"－"</f>
        <v>－</v>
      </c>
      <c r="V309" s="30">
        <f>14928883</f>
        <v>14928883</v>
      </c>
      <c r="W309" s="30" t="str">
        <f>"－"</f>
        <v>－</v>
      </c>
      <c r="X309" s="34">
        <f>5</f>
        <v>5</v>
      </c>
    </row>
    <row r="310" spans="1:24">
      <c r="A310" s="25" t="s">
        <v>1224</v>
      </c>
      <c r="B310" s="25" t="s">
        <v>1229</v>
      </c>
      <c r="C310" s="25" t="s">
        <v>1230</v>
      </c>
      <c r="D310" s="25" t="s">
        <v>1231</v>
      </c>
      <c r="E310" s="26" t="s">
        <v>672</v>
      </c>
      <c r="F310" s="27" t="s">
        <v>673</v>
      </c>
      <c r="G310" s="28" t="s">
        <v>1228</v>
      </c>
      <c r="H310" s="29"/>
      <c r="I310" s="29" t="s">
        <v>44</v>
      </c>
      <c r="J310" s="30">
        <v>1</v>
      </c>
      <c r="K310" s="31">
        <f>2003</f>
        <v>2003</v>
      </c>
      <c r="L310" s="32" t="s">
        <v>683</v>
      </c>
      <c r="M310" s="31">
        <f>2114</f>
        <v>2114</v>
      </c>
      <c r="N310" s="32" t="s">
        <v>679</v>
      </c>
      <c r="O310" s="31">
        <f>1977</f>
        <v>1977</v>
      </c>
      <c r="P310" s="32" t="s">
        <v>777</v>
      </c>
      <c r="Q310" s="31">
        <f>1993</f>
        <v>1993</v>
      </c>
      <c r="R310" s="32" t="s">
        <v>777</v>
      </c>
      <c r="S310" s="33">
        <f>2010.4</f>
        <v>2010.4</v>
      </c>
      <c r="T310" s="30">
        <f>4387</f>
        <v>4387</v>
      </c>
      <c r="U310" s="30" t="str">
        <f>"－"</f>
        <v>－</v>
      </c>
      <c r="V310" s="30">
        <f>8744842</f>
        <v>8744842</v>
      </c>
      <c r="W310" s="30" t="str">
        <f>"－"</f>
        <v>－</v>
      </c>
      <c r="X310" s="34">
        <f>5</f>
        <v>5</v>
      </c>
    </row>
    <row r="311" spans="1:24">
      <c r="A311" s="25" t="s">
        <v>1224</v>
      </c>
      <c r="B311" s="25" t="s">
        <v>650</v>
      </c>
      <c r="C311" s="25" t="s">
        <v>651</v>
      </c>
      <c r="D311" s="25" t="s">
        <v>652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335.8</f>
        <v>335.8</v>
      </c>
      <c r="L311" s="32" t="s">
        <v>1116</v>
      </c>
      <c r="M311" s="31">
        <f>338.8</f>
        <v>338.8</v>
      </c>
      <c r="N311" s="32" t="s">
        <v>1111</v>
      </c>
      <c r="O311" s="31">
        <f>324.7</f>
        <v>324.7</v>
      </c>
      <c r="P311" s="32" t="s">
        <v>682</v>
      </c>
      <c r="Q311" s="31">
        <f>327.9</f>
        <v>327.9</v>
      </c>
      <c r="R311" s="32" t="s">
        <v>777</v>
      </c>
      <c r="S311" s="33">
        <f>330.72</f>
        <v>330.72</v>
      </c>
      <c r="T311" s="30">
        <f>12429740</f>
        <v>12429740</v>
      </c>
      <c r="U311" s="30">
        <f>8790220</f>
        <v>8790220</v>
      </c>
      <c r="V311" s="30">
        <f>4062870295</f>
        <v>4062870295</v>
      </c>
      <c r="W311" s="30">
        <f>2859295947</f>
        <v>2859295947</v>
      </c>
      <c r="X311" s="34">
        <f>19</f>
        <v>19</v>
      </c>
    </row>
    <row r="312" spans="1:24">
      <c r="A312" s="25" t="s">
        <v>1224</v>
      </c>
      <c r="B312" s="25" t="s">
        <v>653</v>
      </c>
      <c r="C312" s="25" t="s">
        <v>654</v>
      </c>
      <c r="D312" s="25" t="s">
        <v>655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1276</f>
        <v>1276</v>
      </c>
      <c r="L312" s="32" t="s">
        <v>1116</v>
      </c>
      <c r="M312" s="31">
        <f>1335</f>
        <v>1335</v>
      </c>
      <c r="N312" s="32" t="s">
        <v>682</v>
      </c>
      <c r="O312" s="31">
        <f>1271</f>
        <v>1271</v>
      </c>
      <c r="P312" s="32" t="s">
        <v>1145</v>
      </c>
      <c r="Q312" s="31">
        <f>1296</f>
        <v>1296</v>
      </c>
      <c r="R312" s="32" t="s">
        <v>777</v>
      </c>
      <c r="S312" s="33">
        <f>1305.68</f>
        <v>1305.68</v>
      </c>
      <c r="T312" s="30">
        <f>39798356</f>
        <v>39798356</v>
      </c>
      <c r="U312" s="30">
        <f>10553353</f>
        <v>10553353</v>
      </c>
      <c r="V312" s="30">
        <f>51978862442</f>
        <v>51978862442</v>
      </c>
      <c r="W312" s="30">
        <f>13735709763</f>
        <v>13735709763</v>
      </c>
      <c r="X312" s="34">
        <f>19</f>
        <v>19</v>
      </c>
    </row>
    <row r="313" spans="1:24">
      <c r="A313" s="25" t="s">
        <v>1224</v>
      </c>
      <c r="B313" s="25" t="s">
        <v>656</v>
      </c>
      <c r="C313" s="25" t="s">
        <v>657</v>
      </c>
      <c r="D313" s="25" t="s">
        <v>658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1792</f>
        <v>1792</v>
      </c>
      <c r="L313" s="32" t="s">
        <v>1116</v>
      </c>
      <c r="M313" s="31">
        <f>1904</f>
        <v>1904</v>
      </c>
      <c r="N313" s="32" t="s">
        <v>682</v>
      </c>
      <c r="O313" s="31">
        <f>1786</f>
        <v>1786</v>
      </c>
      <c r="P313" s="32" t="s">
        <v>675</v>
      </c>
      <c r="Q313" s="31">
        <f>1818</f>
        <v>1818</v>
      </c>
      <c r="R313" s="32" t="s">
        <v>777</v>
      </c>
      <c r="S313" s="33">
        <f>1809.42</f>
        <v>1809.42</v>
      </c>
      <c r="T313" s="30">
        <f>36225</f>
        <v>36225</v>
      </c>
      <c r="U313" s="30">
        <f>3</f>
        <v>3</v>
      </c>
      <c r="V313" s="30">
        <f>65940397</f>
        <v>65940397</v>
      </c>
      <c r="W313" s="30">
        <f>5452</f>
        <v>5452</v>
      </c>
      <c r="X313" s="34">
        <f>19</f>
        <v>19</v>
      </c>
    </row>
    <row r="314" spans="1:24">
      <c r="A314" s="25" t="s">
        <v>1224</v>
      </c>
      <c r="B314" s="25" t="s">
        <v>659</v>
      </c>
      <c r="C314" s="25" t="s">
        <v>660</v>
      </c>
      <c r="D314" s="25" t="s">
        <v>661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2084</f>
        <v>2084</v>
      </c>
      <c r="L314" s="32" t="s">
        <v>1116</v>
      </c>
      <c r="M314" s="31">
        <f>2110</f>
        <v>2110</v>
      </c>
      <c r="N314" s="32" t="s">
        <v>1111</v>
      </c>
      <c r="O314" s="31">
        <f>2080</f>
        <v>2080</v>
      </c>
      <c r="P314" s="32" t="s">
        <v>1145</v>
      </c>
      <c r="Q314" s="31">
        <f>2105</f>
        <v>2105</v>
      </c>
      <c r="R314" s="32" t="s">
        <v>777</v>
      </c>
      <c r="S314" s="33">
        <f>2093.95</f>
        <v>2093.9499999999998</v>
      </c>
      <c r="T314" s="30">
        <f>1242600</f>
        <v>1242600</v>
      </c>
      <c r="U314" s="30">
        <f>1241000</f>
        <v>1241000</v>
      </c>
      <c r="V314" s="30">
        <f>2607343437</f>
        <v>2607343437</v>
      </c>
      <c r="W314" s="30">
        <f>2603990300</f>
        <v>2603990300</v>
      </c>
      <c r="X314" s="34">
        <f>19</f>
        <v>19</v>
      </c>
    </row>
    <row r="315" spans="1:24">
      <c r="A315" s="25" t="s">
        <v>1224</v>
      </c>
      <c r="B315" s="25" t="s">
        <v>662</v>
      </c>
      <c r="C315" s="25" t="s">
        <v>663</v>
      </c>
      <c r="D315" s="25" t="s">
        <v>948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3920</f>
        <v>3920</v>
      </c>
      <c r="L315" s="32" t="s">
        <v>1116</v>
      </c>
      <c r="M315" s="31">
        <f>4015</f>
        <v>4015</v>
      </c>
      <c r="N315" s="32" t="s">
        <v>1111</v>
      </c>
      <c r="O315" s="31">
        <f>3540</f>
        <v>3540</v>
      </c>
      <c r="P315" s="32" t="s">
        <v>876</v>
      </c>
      <c r="Q315" s="31">
        <f>3830</f>
        <v>3830</v>
      </c>
      <c r="R315" s="32" t="s">
        <v>777</v>
      </c>
      <c r="S315" s="33">
        <f>3747.63</f>
        <v>3747.63</v>
      </c>
      <c r="T315" s="30">
        <f>751421</f>
        <v>751421</v>
      </c>
      <c r="U315" s="30">
        <f>612146</f>
        <v>612146</v>
      </c>
      <c r="V315" s="30">
        <f>2802994708</f>
        <v>2802994708</v>
      </c>
      <c r="W315" s="30">
        <f>2278406483</f>
        <v>2278406483</v>
      </c>
      <c r="X315" s="34">
        <f>19</f>
        <v>19</v>
      </c>
    </row>
    <row r="316" spans="1:24">
      <c r="A316" s="25" t="s">
        <v>1224</v>
      </c>
      <c r="B316" s="25" t="s">
        <v>664</v>
      </c>
      <c r="C316" s="25" t="s">
        <v>665</v>
      </c>
      <c r="D316" s="25" t="s">
        <v>949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2742</f>
        <v>2742</v>
      </c>
      <c r="L316" s="32" t="s">
        <v>1116</v>
      </c>
      <c r="M316" s="31">
        <f>2775</f>
        <v>2775</v>
      </c>
      <c r="N316" s="32" t="s">
        <v>1111</v>
      </c>
      <c r="O316" s="31">
        <f>2512</f>
        <v>2512</v>
      </c>
      <c r="P316" s="32" t="s">
        <v>684</v>
      </c>
      <c r="Q316" s="31">
        <f>2672</f>
        <v>2672</v>
      </c>
      <c r="R316" s="32" t="s">
        <v>777</v>
      </c>
      <c r="S316" s="33">
        <f>2634.63</f>
        <v>2634.63</v>
      </c>
      <c r="T316" s="30">
        <f>746936</f>
        <v>746936</v>
      </c>
      <c r="U316" s="30">
        <f>250005</f>
        <v>250005</v>
      </c>
      <c r="V316" s="30">
        <f>1956449757</f>
        <v>1956449757</v>
      </c>
      <c r="W316" s="30">
        <f>639963212</f>
        <v>639963212</v>
      </c>
      <c r="X316" s="34">
        <f>19</f>
        <v>19</v>
      </c>
    </row>
    <row r="317" spans="1:24">
      <c r="A317" s="25" t="s">
        <v>1224</v>
      </c>
      <c r="B317" s="25" t="s">
        <v>666</v>
      </c>
      <c r="C317" s="25" t="s">
        <v>667</v>
      </c>
      <c r="D317" s="25" t="s">
        <v>668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2315</f>
        <v>2315</v>
      </c>
      <c r="L317" s="32" t="s">
        <v>1116</v>
      </c>
      <c r="M317" s="31">
        <f>2385</f>
        <v>2385</v>
      </c>
      <c r="N317" s="32" t="s">
        <v>1111</v>
      </c>
      <c r="O317" s="31">
        <f>2203</f>
        <v>2203</v>
      </c>
      <c r="P317" s="32" t="s">
        <v>876</v>
      </c>
      <c r="Q317" s="31">
        <f>2308</f>
        <v>2308</v>
      </c>
      <c r="R317" s="32" t="s">
        <v>777</v>
      </c>
      <c r="S317" s="33">
        <f>2295.42</f>
        <v>2295.42</v>
      </c>
      <c r="T317" s="30">
        <f>101150</f>
        <v>101150</v>
      </c>
      <c r="U317" s="30" t="str">
        <f>"－"</f>
        <v>－</v>
      </c>
      <c r="V317" s="30">
        <f>231413621</f>
        <v>231413621</v>
      </c>
      <c r="W317" s="30" t="str">
        <f>"－"</f>
        <v>－</v>
      </c>
      <c r="X317" s="34">
        <f>19</f>
        <v>19</v>
      </c>
    </row>
    <row r="318" spans="1:24">
      <c r="A318" s="25" t="s">
        <v>1224</v>
      </c>
      <c r="B318" s="25" t="s">
        <v>669</v>
      </c>
      <c r="C318" s="25" t="s">
        <v>670</v>
      </c>
      <c r="D318" s="25" t="s">
        <v>671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1397</f>
        <v>1397</v>
      </c>
      <c r="L318" s="32" t="s">
        <v>1116</v>
      </c>
      <c r="M318" s="31">
        <f>1464</f>
        <v>1464</v>
      </c>
      <c r="N318" s="32" t="s">
        <v>1111</v>
      </c>
      <c r="O318" s="31">
        <f>1363</f>
        <v>1363</v>
      </c>
      <c r="P318" s="32" t="s">
        <v>675</v>
      </c>
      <c r="Q318" s="31">
        <f>1424</f>
        <v>1424</v>
      </c>
      <c r="R318" s="32" t="s">
        <v>777</v>
      </c>
      <c r="S318" s="33">
        <f>1412.37</f>
        <v>1412.37</v>
      </c>
      <c r="T318" s="30">
        <f>18908</f>
        <v>18908</v>
      </c>
      <c r="U318" s="30" t="str">
        <f>"－"</f>
        <v>－</v>
      </c>
      <c r="V318" s="30">
        <f>26623185</f>
        <v>26623185</v>
      </c>
      <c r="W318" s="30" t="str">
        <f>"－"</f>
        <v>－</v>
      </c>
      <c r="X318" s="34">
        <f>19</f>
        <v>19</v>
      </c>
    </row>
    <row r="319" spans="1:24">
      <c r="A319" s="25" t="s">
        <v>1224</v>
      </c>
      <c r="B319" s="25" t="s">
        <v>687</v>
      </c>
      <c r="C319" s="25" t="s">
        <v>688</v>
      </c>
      <c r="D319" s="25" t="s">
        <v>689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1451</f>
        <v>1451</v>
      </c>
      <c r="L319" s="32" t="s">
        <v>1116</v>
      </c>
      <c r="M319" s="31">
        <f>1848</f>
        <v>1848</v>
      </c>
      <c r="N319" s="32" t="s">
        <v>777</v>
      </c>
      <c r="O319" s="31">
        <f>1321</f>
        <v>1321</v>
      </c>
      <c r="P319" s="32" t="s">
        <v>678</v>
      </c>
      <c r="Q319" s="31">
        <f>1823</f>
        <v>1823</v>
      </c>
      <c r="R319" s="32" t="s">
        <v>777</v>
      </c>
      <c r="S319" s="33">
        <f>1431.11</f>
        <v>1431.11</v>
      </c>
      <c r="T319" s="30">
        <f>49935</f>
        <v>49935</v>
      </c>
      <c r="U319" s="30" t="str">
        <f>"－"</f>
        <v>－</v>
      </c>
      <c r="V319" s="30">
        <f>76771672</f>
        <v>76771672</v>
      </c>
      <c r="W319" s="30" t="str">
        <f>"－"</f>
        <v>－</v>
      </c>
      <c r="X319" s="34">
        <f>19</f>
        <v>19</v>
      </c>
    </row>
    <row r="320" spans="1:24">
      <c r="A320" s="25" t="s">
        <v>1224</v>
      </c>
      <c r="B320" s="25" t="s">
        <v>690</v>
      </c>
      <c r="C320" s="25" t="s">
        <v>691</v>
      </c>
      <c r="D320" s="25" t="s">
        <v>692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2313</f>
        <v>2313</v>
      </c>
      <c r="L320" s="32" t="s">
        <v>1116</v>
      </c>
      <c r="M320" s="31">
        <f>2837</f>
        <v>2837</v>
      </c>
      <c r="N320" s="32" t="s">
        <v>777</v>
      </c>
      <c r="O320" s="31">
        <f>2180</f>
        <v>2180</v>
      </c>
      <c r="P320" s="32" t="s">
        <v>1123</v>
      </c>
      <c r="Q320" s="31">
        <f>2834</f>
        <v>2834</v>
      </c>
      <c r="R320" s="32" t="s">
        <v>777</v>
      </c>
      <c r="S320" s="33">
        <f>2332.58</f>
        <v>2332.58</v>
      </c>
      <c r="T320" s="30">
        <f>6888</f>
        <v>6888</v>
      </c>
      <c r="U320" s="30" t="str">
        <f>"－"</f>
        <v>－</v>
      </c>
      <c r="V320" s="30">
        <f>17511766</f>
        <v>17511766</v>
      </c>
      <c r="W320" s="30" t="str">
        <f>"－"</f>
        <v>－</v>
      </c>
      <c r="X320" s="34">
        <f>19</f>
        <v>19</v>
      </c>
    </row>
    <row r="321" spans="1:24">
      <c r="A321" s="25" t="s">
        <v>1224</v>
      </c>
      <c r="B321" s="25" t="s">
        <v>693</v>
      </c>
      <c r="C321" s="25" t="s">
        <v>694</v>
      </c>
      <c r="D321" s="25" t="s">
        <v>695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12760</f>
        <v>12760</v>
      </c>
      <c r="L321" s="32" t="s">
        <v>1116</v>
      </c>
      <c r="M321" s="31">
        <f>13000</f>
        <v>13000</v>
      </c>
      <c r="N321" s="32" t="s">
        <v>676</v>
      </c>
      <c r="O321" s="31">
        <f>12240</f>
        <v>12240</v>
      </c>
      <c r="P321" s="32" t="s">
        <v>876</v>
      </c>
      <c r="Q321" s="31">
        <f>12935</f>
        <v>12935</v>
      </c>
      <c r="R321" s="32" t="s">
        <v>777</v>
      </c>
      <c r="S321" s="33">
        <f>12684.74</f>
        <v>12684.74</v>
      </c>
      <c r="T321" s="30">
        <f>361782</f>
        <v>361782</v>
      </c>
      <c r="U321" s="30">
        <f>221971</f>
        <v>221971</v>
      </c>
      <c r="V321" s="30">
        <f>4575552925</f>
        <v>4575552925</v>
      </c>
      <c r="W321" s="30">
        <f>2802912035</f>
        <v>2802912035</v>
      </c>
      <c r="X321" s="34">
        <f>19</f>
        <v>19</v>
      </c>
    </row>
    <row r="322" spans="1:24">
      <c r="A322" s="25" t="s">
        <v>1224</v>
      </c>
      <c r="B322" s="25" t="s">
        <v>696</v>
      </c>
      <c r="C322" s="25" t="s">
        <v>697</v>
      </c>
      <c r="D322" s="25" t="s">
        <v>698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20510</f>
        <v>20510</v>
      </c>
      <c r="L322" s="32" t="s">
        <v>1116</v>
      </c>
      <c r="M322" s="31">
        <f>21155</f>
        <v>21155</v>
      </c>
      <c r="N322" s="32" t="s">
        <v>1111</v>
      </c>
      <c r="O322" s="31">
        <f>18825</f>
        <v>18825</v>
      </c>
      <c r="P322" s="32" t="s">
        <v>876</v>
      </c>
      <c r="Q322" s="31">
        <f>20320</f>
        <v>20320</v>
      </c>
      <c r="R322" s="32" t="s">
        <v>777</v>
      </c>
      <c r="S322" s="33">
        <f>19942.89</f>
        <v>19942.89</v>
      </c>
      <c r="T322" s="30">
        <f>460706</f>
        <v>460706</v>
      </c>
      <c r="U322" s="30">
        <f>5011</f>
        <v>5011</v>
      </c>
      <c r="V322" s="30">
        <f>9167463610</f>
        <v>9167463610</v>
      </c>
      <c r="W322" s="30">
        <f>100449765</f>
        <v>100449765</v>
      </c>
      <c r="X322" s="34">
        <f>19</f>
        <v>19</v>
      </c>
    </row>
    <row r="323" spans="1:24">
      <c r="A323" s="25" t="s">
        <v>1224</v>
      </c>
      <c r="B323" s="25" t="s">
        <v>699</v>
      </c>
      <c r="C323" s="25" t="s">
        <v>700</v>
      </c>
      <c r="D323" s="25" t="s">
        <v>701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12840</f>
        <v>12840</v>
      </c>
      <c r="L323" s="32" t="s">
        <v>1116</v>
      </c>
      <c r="M323" s="31">
        <f>13400</f>
        <v>13400</v>
      </c>
      <c r="N323" s="32" t="s">
        <v>1111</v>
      </c>
      <c r="O323" s="31">
        <f>12105</f>
        <v>12105</v>
      </c>
      <c r="P323" s="32" t="s">
        <v>876</v>
      </c>
      <c r="Q323" s="31">
        <f>13035</f>
        <v>13035</v>
      </c>
      <c r="R323" s="32" t="s">
        <v>777</v>
      </c>
      <c r="S323" s="33">
        <f>12729.74</f>
        <v>12729.74</v>
      </c>
      <c r="T323" s="30">
        <f>310712</f>
        <v>310712</v>
      </c>
      <c r="U323" s="30">
        <f>23135</f>
        <v>23135</v>
      </c>
      <c r="V323" s="30">
        <f>3972316160</f>
        <v>3972316160</v>
      </c>
      <c r="W323" s="30">
        <f>305083105</f>
        <v>305083105</v>
      </c>
      <c r="X323" s="34">
        <f>19</f>
        <v>19</v>
      </c>
    </row>
    <row r="324" spans="1:24">
      <c r="A324" s="25" t="s">
        <v>1224</v>
      </c>
      <c r="B324" s="25" t="s">
        <v>702</v>
      </c>
      <c r="C324" s="25" t="s">
        <v>703</v>
      </c>
      <c r="D324" s="25" t="s">
        <v>704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382.2</f>
        <v>382.2</v>
      </c>
      <c r="L324" s="32" t="s">
        <v>1116</v>
      </c>
      <c r="M324" s="31">
        <f>388</f>
        <v>388</v>
      </c>
      <c r="N324" s="32" t="s">
        <v>1111</v>
      </c>
      <c r="O324" s="31">
        <f>354.4</f>
        <v>354.4</v>
      </c>
      <c r="P324" s="32" t="s">
        <v>684</v>
      </c>
      <c r="Q324" s="31">
        <f>374.4</f>
        <v>374.4</v>
      </c>
      <c r="R324" s="32" t="s">
        <v>777</v>
      </c>
      <c r="S324" s="33">
        <f>371.02</f>
        <v>371.02</v>
      </c>
      <c r="T324" s="30">
        <f>18739640</f>
        <v>18739640</v>
      </c>
      <c r="U324" s="30">
        <f>210120</f>
        <v>210120</v>
      </c>
      <c r="V324" s="30">
        <f>6929416203</f>
        <v>6929416203</v>
      </c>
      <c r="W324" s="30">
        <f>74824332</f>
        <v>74824332</v>
      </c>
      <c r="X324" s="34">
        <f>19</f>
        <v>19</v>
      </c>
    </row>
    <row r="325" spans="1:24">
      <c r="A325" s="25" t="s">
        <v>1224</v>
      </c>
      <c r="B325" s="25" t="s">
        <v>705</v>
      </c>
      <c r="C325" s="25" t="s">
        <v>706</v>
      </c>
      <c r="D325" s="25" t="s">
        <v>707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2525</f>
        <v>2525</v>
      </c>
      <c r="L325" s="32" t="s">
        <v>1116</v>
      </c>
      <c r="M325" s="31">
        <f>2560</f>
        <v>2560</v>
      </c>
      <c r="N325" s="32" t="s">
        <v>1111</v>
      </c>
      <c r="O325" s="31">
        <f>2401</f>
        <v>2401</v>
      </c>
      <c r="P325" s="32" t="s">
        <v>876</v>
      </c>
      <c r="Q325" s="31">
        <f>2537.5</f>
        <v>2537.5</v>
      </c>
      <c r="R325" s="32" t="s">
        <v>777</v>
      </c>
      <c r="S325" s="33">
        <f>2491.58</f>
        <v>2491.58</v>
      </c>
      <c r="T325" s="30">
        <f>3879750</f>
        <v>3879750</v>
      </c>
      <c r="U325" s="30">
        <f>2230120</f>
        <v>2230120</v>
      </c>
      <c r="V325" s="30">
        <f>9568958075</f>
        <v>9568958075</v>
      </c>
      <c r="W325" s="30">
        <f>5472499640</f>
        <v>5472499640</v>
      </c>
      <c r="X325" s="34">
        <f>19</f>
        <v>19</v>
      </c>
    </row>
    <row r="326" spans="1:24">
      <c r="A326" s="25" t="s">
        <v>1224</v>
      </c>
      <c r="B326" s="25" t="s">
        <v>708</v>
      </c>
      <c r="C326" s="25" t="s">
        <v>709</v>
      </c>
      <c r="D326" s="25" t="s">
        <v>710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3970</f>
        <v>3970</v>
      </c>
      <c r="L326" s="32" t="s">
        <v>1116</v>
      </c>
      <c r="M326" s="31">
        <f>4012</f>
        <v>4012</v>
      </c>
      <c r="N326" s="32" t="s">
        <v>1111</v>
      </c>
      <c r="O326" s="31">
        <f>3692</f>
        <v>3692</v>
      </c>
      <c r="P326" s="32" t="s">
        <v>876</v>
      </c>
      <c r="Q326" s="31">
        <f>3891</f>
        <v>3891</v>
      </c>
      <c r="R326" s="32" t="s">
        <v>777</v>
      </c>
      <c r="S326" s="33">
        <f>3841.42</f>
        <v>3841.42</v>
      </c>
      <c r="T326" s="30">
        <f>393880</f>
        <v>393880</v>
      </c>
      <c r="U326" s="30">
        <f>50010</f>
        <v>50010</v>
      </c>
      <c r="V326" s="30">
        <f>1529142870</f>
        <v>1529142870</v>
      </c>
      <c r="W326" s="30">
        <f>195122910</f>
        <v>195122910</v>
      </c>
      <c r="X326" s="34">
        <f>19</f>
        <v>19</v>
      </c>
    </row>
    <row r="327" spans="1:24">
      <c r="A327" s="25" t="s">
        <v>1224</v>
      </c>
      <c r="B327" s="25" t="s">
        <v>711</v>
      </c>
      <c r="C327" s="25" t="s">
        <v>712</v>
      </c>
      <c r="D327" s="25" t="s">
        <v>713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3395</f>
        <v>3395</v>
      </c>
      <c r="L327" s="32" t="s">
        <v>1116</v>
      </c>
      <c r="M327" s="31">
        <f>3400</f>
        <v>3400</v>
      </c>
      <c r="N327" s="32" t="s">
        <v>683</v>
      </c>
      <c r="O327" s="31">
        <f>3085</f>
        <v>3085</v>
      </c>
      <c r="P327" s="32" t="s">
        <v>876</v>
      </c>
      <c r="Q327" s="31">
        <f>3235</f>
        <v>3235</v>
      </c>
      <c r="R327" s="32" t="s">
        <v>777</v>
      </c>
      <c r="S327" s="33">
        <f>3225.53</f>
        <v>3225.53</v>
      </c>
      <c r="T327" s="30">
        <f>111251</f>
        <v>111251</v>
      </c>
      <c r="U327" s="30">
        <f>38780</f>
        <v>38780</v>
      </c>
      <c r="V327" s="30">
        <f>359358667</f>
        <v>359358667</v>
      </c>
      <c r="W327" s="30">
        <f>122644772</f>
        <v>122644772</v>
      </c>
      <c r="X327" s="34">
        <f>19</f>
        <v>19</v>
      </c>
    </row>
    <row r="328" spans="1:24">
      <c r="A328" s="25" t="s">
        <v>1224</v>
      </c>
      <c r="B328" s="25" t="s">
        <v>714</v>
      </c>
      <c r="C328" s="25" t="s">
        <v>1035</v>
      </c>
      <c r="D328" s="25" t="s">
        <v>1034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1584</f>
        <v>1584</v>
      </c>
      <c r="L328" s="32" t="s">
        <v>1116</v>
      </c>
      <c r="M328" s="31">
        <f>1630</f>
        <v>1630</v>
      </c>
      <c r="N328" s="32" t="s">
        <v>1111</v>
      </c>
      <c r="O328" s="31">
        <f>1461</f>
        <v>1461</v>
      </c>
      <c r="P328" s="32" t="s">
        <v>876</v>
      </c>
      <c r="Q328" s="31">
        <f>1580</f>
        <v>1580</v>
      </c>
      <c r="R328" s="32" t="s">
        <v>777</v>
      </c>
      <c r="S328" s="33">
        <f>1531.53</f>
        <v>1531.53</v>
      </c>
      <c r="T328" s="30">
        <f>225662</f>
        <v>225662</v>
      </c>
      <c r="U328" s="30">
        <f>70000</f>
        <v>70000</v>
      </c>
      <c r="V328" s="30">
        <f>342659958</f>
        <v>342659958</v>
      </c>
      <c r="W328" s="30">
        <f>104524770</f>
        <v>104524770</v>
      </c>
      <c r="X328" s="34">
        <f>19</f>
        <v>19</v>
      </c>
    </row>
    <row r="329" spans="1:24">
      <c r="A329" s="25" t="s">
        <v>1224</v>
      </c>
      <c r="B329" s="25" t="s">
        <v>715</v>
      </c>
      <c r="C329" s="25" t="s">
        <v>716</v>
      </c>
      <c r="D329" s="25" t="s">
        <v>717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2035</f>
        <v>2035</v>
      </c>
      <c r="L329" s="32" t="s">
        <v>1116</v>
      </c>
      <c r="M329" s="31">
        <f>2137</f>
        <v>2137</v>
      </c>
      <c r="N329" s="32" t="s">
        <v>1111</v>
      </c>
      <c r="O329" s="31">
        <f>1860</f>
        <v>1860</v>
      </c>
      <c r="P329" s="32" t="s">
        <v>876</v>
      </c>
      <c r="Q329" s="31">
        <f>2050</f>
        <v>2050</v>
      </c>
      <c r="R329" s="32" t="s">
        <v>777</v>
      </c>
      <c r="S329" s="33">
        <f>1984.47</f>
        <v>1984.47</v>
      </c>
      <c r="T329" s="30">
        <f>776150</f>
        <v>776150</v>
      </c>
      <c r="U329" s="30">
        <f>610340</f>
        <v>610340</v>
      </c>
      <c r="V329" s="30">
        <f>1565064380</f>
        <v>1565064380</v>
      </c>
      <c r="W329" s="30">
        <f>1236018926</f>
        <v>1236018926</v>
      </c>
      <c r="X329" s="34">
        <f>19</f>
        <v>19</v>
      </c>
    </row>
    <row r="330" spans="1:24">
      <c r="A330" s="25" t="s">
        <v>1224</v>
      </c>
      <c r="B330" s="25" t="s">
        <v>718</v>
      </c>
      <c r="C330" s="25" t="s">
        <v>719</v>
      </c>
      <c r="D330" s="25" t="s">
        <v>720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1748</f>
        <v>1748</v>
      </c>
      <c r="L330" s="32" t="s">
        <v>1116</v>
      </c>
      <c r="M330" s="31">
        <f>1774</f>
        <v>1774</v>
      </c>
      <c r="N330" s="32" t="s">
        <v>1111</v>
      </c>
      <c r="O330" s="31">
        <f>1610</f>
        <v>1610</v>
      </c>
      <c r="P330" s="32" t="s">
        <v>777</v>
      </c>
      <c r="Q330" s="31">
        <f>1724</f>
        <v>1724</v>
      </c>
      <c r="R330" s="32" t="s">
        <v>777</v>
      </c>
      <c r="S330" s="33">
        <f>1701.05</f>
        <v>1701.05</v>
      </c>
      <c r="T330" s="30">
        <f>31431</f>
        <v>31431</v>
      </c>
      <c r="U330" s="30" t="str">
        <f>"－"</f>
        <v>－</v>
      </c>
      <c r="V330" s="30">
        <f>53837247</f>
        <v>53837247</v>
      </c>
      <c r="W330" s="30" t="str">
        <f>"－"</f>
        <v>－</v>
      </c>
      <c r="X330" s="34">
        <f>19</f>
        <v>19</v>
      </c>
    </row>
    <row r="331" spans="1:24">
      <c r="A331" s="25" t="s">
        <v>1224</v>
      </c>
      <c r="B331" s="25" t="s">
        <v>721</v>
      </c>
      <c r="C331" s="25" t="s">
        <v>722</v>
      </c>
      <c r="D331" s="25" t="s">
        <v>723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3170</f>
        <v>3170</v>
      </c>
      <c r="L331" s="32" t="s">
        <v>1116</v>
      </c>
      <c r="M331" s="31">
        <f>3345</f>
        <v>3345</v>
      </c>
      <c r="N331" s="32" t="s">
        <v>1111</v>
      </c>
      <c r="O331" s="31">
        <f>3060</f>
        <v>3060</v>
      </c>
      <c r="P331" s="32" t="s">
        <v>876</v>
      </c>
      <c r="Q331" s="31">
        <f>3240</f>
        <v>3240</v>
      </c>
      <c r="R331" s="32" t="s">
        <v>777</v>
      </c>
      <c r="S331" s="33">
        <f>3182.89</f>
        <v>3182.89</v>
      </c>
      <c r="T331" s="30">
        <f>38683</f>
        <v>38683</v>
      </c>
      <c r="U331" s="30">
        <f>170</f>
        <v>170</v>
      </c>
      <c r="V331" s="30">
        <f>124099660</f>
        <v>124099660</v>
      </c>
      <c r="W331" s="30">
        <f>534650</f>
        <v>534650</v>
      </c>
      <c r="X331" s="34">
        <f>19</f>
        <v>19</v>
      </c>
    </row>
    <row r="332" spans="1:24">
      <c r="A332" s="25" t="s">
        <v>1224</v>
      </c>
      <c r="B332" s="25" t="s">
        <v>724</v>
      </c>
      <c r="C332" s="25" t="s">
        <v>1033</v>
      </c>
      <c r="D332" s="25" t="s">
        <v>1032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3110</f>
        <v>3110</v>
      </c>
      <c r="L332" s="32" t="s">
        <v>1116</v>
      </c>
      <c r="M332" s="31">
        <f>3190</f>
        <v>3190</v>
      </c>
      <c r="N332" s="32" t="s">
        <v>1111</v>
      </c>
      <c r="O332" s="31">
        <f>2792</f>
        <v>2792</v>
      </c>
      <c r="P332" s="32" t="s">
        <v>876</v>
      </c>
      <c r="Q332" s="31">
        <f>3025</f>
        <v>3025</v>
      </c>
      <c r="R332" s="32" t="s">
        <v>777</v>
      </c>
      <c r="S332" s="33">
        <f>2970.47</f>
        <v>2970.47</v>
      </c>
      <c r="T332" s="30">
        <f>21430534</f>
        <v>21430534</v>
      </c>
      <c r="U332" s="30">
        <f>4300380</f>
        <v>4300380</v>
      </c>
      <c r="V332" s="30">
        <f>62966877116</f>
        <v>62966877116</v>
      </c>
      <c r="W332" s="30">
        <f>12672032068</f>
        <v>12672032068</v>
      </c>
      <c r="X332" s="34">
        <f>19</f>
        <v>19</v>
      </c>
    </row>
    <row r="333" spans="1:24">
      <c r="A333" s="25" t="s">
        <v>1224</v>
      </c>
      <c r="B333" s="25" t="s">
        <v>725</v>
      </c>
      <c r="C333" s="25" t="s">
        <v>726</v>
      </c>
      <c r="D333" s="25" t="s">
        <v>727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35940</f>
        <v>35940</v>
      </c>
      <c r="L333" s="32" t="s">
        <v>1145</v>
      </c>
      <c r="M333" s="31">
        <f>36050</f>
        <v>36050</v>
      </c>
      <c r="N333" s="32" t="s">
        <v>1111</v>
      </c>
      <c r="O333" s="31">
        <f>33380</f>
        <v>33380</v>
      </c>
      <c r="P333" s="32" t="s">
        <v>876</v>
      </c>
      <c r="Q333" s="31">
        <f>35250</f>
        <v>35250</v>
      </c>
      <c r="R333" s="32" t="s">
        <v>777</v>
      </c>
      <c r="S333" s="33">
        <f>34667.5</f>
        <v>34667.5</v>
      </c>
      <c r="T333" s="30">
        <f>58</f>
        <v>58</v>
      </c>
      <c r="U333" s="30" t="str">
        <f>"－"</f>
        <v>－</v>
      </c>
      <c r="V333" s="30">
        <f>1981770</f>
        <v>1981770</v>
      </c>
      <c r="W333" s="30" t="str">
        <f>"－"</f>
        <v>－</v>
      </c>
      <c r="X333" s="34">
        <f>16</f>
        <v>16</v>
      </c>
    </row>
    <row r="334" spans="1:24">
      <c r="A334" s="25" t="s">
        <v>1224</v>
      </c>
      <c r="B334" s="25" t="s">
        <v>728</v>
      </c>
      <c r="C334" s="25" t="s">
        <v>729</v>
      </c>
      <c r="D334" s="25" t="s">
        <v>730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2900</f>
        <v>2900</v>
      </c>
      <c r="L334" s="32" t="s">
        <v>1116</v>
      </c>
      <c r="M334" s="31">
        <f>2950</f>
        <v>2950</v>
      </c>
      <c r="N334" s="32" t="s">
        <v>777</v>
      </c>
      <c r="O334" s="31">
        <f>2620</f>
        <v>2620</v>
      </c>
      <c r="P334" s="32" t="s">
        <v>876</v>
      </c>
      <c r="Q334" s="31">
        <f>2797</f>
        <v>2797</v>
      </c>
      <c r="R334" s="32" t="s">
        <v>777</v>
      </c>
      <c r="S334" s="33">
        <f>2749.63</f>
        <v>2749.63</v>
      </c>
      <c r="T334" s="30">
        <f>11828</f>
        <v>11828</v>
      </c>
      <c r="U334" s="30" t="str">
        <f>"－"</f>
        <v>－</v>
      </c>
      <c r="V334" s="30">
        <f>32148095</f>
        <v>32148095</v>
      </c>
      <c r="W334" s="30" t="str">
        <f>"－"</f>
        <v>－</v>
      </c>
      <c r="X334" s="34">
        <f>19</f>
        <v>19</v>
      </c>
    </row>
    <row r="335" spans="1:24">
      <c r="A335" s="25" t="s">
        <v>1224</v>
      </c>
      <c r="B335" s="25" t="s">
        <v>731</v>
      </c>
      <c r="C335" s="25" t="s">
        <v>732</v>
      </c>
      <c r="D335" s="25" t="s">
        <v>733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4020</f>
        <v>4020</v>
      </c>
      <c r="L335" s="32" t="s">
        <v>1116</v>
      </c>
      <c r="M335" s="31">
        <f>4025</f>
        <v>4025</v>
      </c>
      <c r="N335" s="32" t="s">
        <v>1116</v>
      </c>
      <c r="O335" s="31">
        <f>3215</f>
        <v>3215</v>
      </c>
      <c r="P335" s="32" t="s">
        <v>876</v>
      </c>
      <c r="Q335" s="31">
        <f>3630</f>
        <v>3630</v>
      </c>
      <c r="R335" s="32" t="s">
        <v>777</v>
      </c>
      <c r="S335" s="33">
        <f>3542.89</f>
        <v>3542.89</v>
      </c>
      <c r="T335" s="30">
        <f>11190639</f>
        <v>11190639</v>
      </c>
      <c r="U335" s="30">
        <f>873151</f>
        <v>873151</v>
      </c>
      <c r="V335" s="30">
        <f>39417524472</f>
        <v>39417524472</v>
      </c>
      <c r="W335" s="30">
        <f>3080185297</f>
        <v>3080185297</v>
      </c>
      <c r="X335" s="34">
        <f>19</f>
        <v>19</v>
      </c>
    </row>
    <row r="336" spans="1:24">
      <c r="A336" s="25" t="s">
        <v>1224</v>
      </c>
      <c r="B336" s="25" t="s">
        <v>734</v>
      </c>
      <c r="C336" s="25" t="s">
        <v>735</v>
      </c>
      <c r="D336" s="25" t="s">
        <v>736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2293</f>
        <v>2293</v>
      </c>
      <c r="L336" s="32" t="s">
        <v>1116</v>
      </c>
      <c r="M336" s="31">
        <f>2339</f>
        <v>2339</v>
      </c>
      <c r="N336" s="32" t="s">
        <v>1111</v>
      </c>
      <c r="O336" s="31">
        <f>2150</f>
        <v>2150</v>
      </c>
      <c r="P336" s="32" t="s">
        <v>876</v>
      </c>
      <c r="Q336" s="31">
        <f>2265</f>
        <v>2265</v>
      </c>
      <c r="R336" s="32" t="s">
        <v>777</v>
      </c>
      <c r="S336" s="33">
        <f>2262.74</f>
        <v>2262.7399999999998</v>
      </c>
      <c r="T336" s="30">
        <f>4947</f>
        <v>4947</v>
      </c>
      <c r="U336" s="30" t="str">
        <f>"－"</f>
        <v>－</v>
      </c>
      <c r="V336" s="30">
        <f>11299437</f>
        <v>11299437</v>
      </c>
      <c r="W336" s="30" t="str">
        <f>"－"</f>
        <v>－</v>
      </c>
      <c r="X336" s="34">
        <f>19</f>
        <v>19</v>
      </c>
    </row>
    <row r="337" spans="1:24">
      <c r="A337" s="25" t="s">
        <v>1224</v>
      </c>
      <c r="B337" s="25" t="s">
        <v>737</v>
      </c>
      <c r="C337" s="25" t="s">
        <v>738</v>
      </c>
      <c r="D337" s="25" t="s">
        <v>739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1722</f>
        <v>1722</v>
      </c>
      <c r="L337" s="32" t="s">
        <v>1116</v>
      </c>
      <c r="M337" s="31">
        <f>1769</f>
        <v>1769</v>
      </c>
      <c r="N337" s="32" t="s">
        <v>1111</v>
      </c>
      <c r="O337" s="31">
        <f>1537</f>
        <v>1537</v>
      </c>
      <c r="P337" s="32" t="s">
        <v>684</v>
      </c>
      <c r="Q337" s="31">
        <f>1705</f>
        <v>1705</v>
      </c>
      <c r="R337" s="32" t="s">
        <v>777</v>
      </c>
      <c r="S337" s="33">
        <f>1647.37</f>
        <v>1647.37</v>
      </c>
      <c r="T337" s="30">
        <f>3130</f>
        <v>3130</v>
      </c>
      <c r="U337" s="30" t="str">
        <f>"－"</f>
        <v>－</v>
      </c>
      <c r="V337" s="30">
        <f>5196062</f>
        <v>5196062</v>
      </c>
      <c r="W337" s="30" t="str">
        <f>"－"</f>
        <v>－</v>
      </c>
      <c r="X337" s="34">
        <f>19</f>
        <v>19</v>
      </c>
    </row>
    <row r="338" spans="1:24">
      <c r="A338" s="25" t="s">
        <v>1224</v>
      </c>
      <c r="B338" s="25" t="s">
        <v>740</v>
      </c>
      <c r="C338" s="25" t="s">
        <v>741</v>
      </c>
      <c r="D338" s="25" t="s">
        <v>742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5613</f>
        <v>5613</v>
      </c>
      <c r="L338" s="32" t="s">
        <v>1116</v>
      </c>
      <c r="M338" s="31">
        <f>5631</f>
        <v>5631</v>
      </c>
      <c r="N338" s="32" t="s">
        <v>1145</v>
      </c>
      <c r="O338" s="31">
        <f>5463</f>
        <v>5463</v>
      </c>
      <c r="P338" s="32" t="s">
        <v>1123</v>
      </c>
      <c r="Q338" s="31">
        <f>5492</f>
        <v>5492</v>
      </c>
      <c r="R338" s="32" t="s">
        <v>777</v>
      </c>
      <c r="S338" s="33">
        <f>5531.06</f>
        <v>5531.06</v>
      </c>
      <c r="T338" s="30">
        <f>12390</f>
        <v>12390</v>
      </c>
      <c r="U338" s="30">
        <f>3700</f>
        <v>3700</v>
      </c>
      <c r="V338" s="30">
        <f>68497284</f>
        <v>68497284</v>
      </c>
      <c r="W338" s="30">
        <f>20225754</f>
        <v>20225754</v>
      </c>
      <c r="X338" s="34">
        <f>16</f>
        <v>16</v>
      </c>
    </row>
    <row r="339" spans="1:24">
      <c r="A339" s="25" t="s">
        <v>1224</v>
      </c>
      <c r="B339" s="25" t="s">
        <v>743</v>
      </c>
      <c r="C339" s="25" t="s">
        <v>744</v>
      </c>
      <c r="D339" s="25" t="s">
        <v>745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3804</f>
        <v>3804</v>
      </c>
      <c r="L339" s="32" t="s">
        <v>1116</v>
      </c>
      <c r="M339" s="31">
        <f>3930</f>
        <v>3930</v>
      </c>
      <c r="N339" s="32" t="s">
        <v>674</v>
      </c>
      <c r="O339" s="31">
        <f>3791</f>
        <v>3791</v>
      </c>
      <c r="P339" s="32" t="s">
        <v>1111</v>
      </c>
      <c r="Q339" s="31">
        <f>3805</f>
        <v>3805</v>
      </c>
      <c r="R339" s="32" t="s">
        <v>777</v>
      </c>
      <c r="S339" s="33">
        <f>3821.63</f>
        <v>3821.63</v>
      </c>
      <c r="T339" s="30">
        <f>1970210</f>
        <v>1970210</v>
      </c>
      <c r="U339" s="30">
        <f>1901920</f>
        <v>1901920</v>
      </c>
      <c r="V339" s="30">
        <f>7523024572</f>
        <v>7523024572</v>
      </c>
      <c r="W339" s="30">
        <f>7261322872</f>
        <v>7261322872</v>
      </c>
      <c r="X339" s="34">
        <f>19</f>
        <v>19</v>
      </c>
    </row>
    <row r="340" spans="1:24">
      <c r="A340" s="25" t="s">
        <v>1224</v>
      </c>
      <c r="B340" s="25" t="s">
        <v>746</v>
      </c>
      <c r="C340" s="25" t="s">
        <v>747</v>
      </c>
      <c r="D340" s="25" t="s">
        <v>748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10</v>
      </c>
      <c r="K340" s="31">
        <f>638.1</f>
        <v>638.1</v>
      </c>
      <c r="L340" s="32" t="s">
        <v>1116</v>
      </c>
      <c r="M340" s="31">
        <f>652.6</f>
        <v>652.6</v>
      </c>
      <c r="N340" s="32" t="s">
        <v>1118</v>
      </c>
      <c r="O340" s="31">
        <f>635.4</f>
        <v>635.4</v>
      </c>
      <c r="P340" s="32" t="s">
        <v>1116</v>
      </c>
      <c r="Q340" s="31">
        <f>642.6</f>
        <v>642.6</v>
      </c>
      <c r="R340" s="32" t="s">
        <v>777</v>
      </c>
      <c r="S340" s="33">
        <f>642.52</f>
        <v>642.52</v>
      </c>
      <c r="T340" s="30">
        <f>201060</f>
        <v>201060</v>
      </c>
      <c r="U340" s="30" t="str">
        <f>"－"</f>
        <v>－</v>
      </c>
      <c r="V340" s="30">
        <f>129004027</f>
        <v>129004027</v>
      </c>
      <c r="W340" s="30" t="str">
        <f>"－"</f>
        <v>－</v>
      </c>
      <c r="X340" s="34">
        <f>19</f>
        <v>19</v>
      </c>
    </row>
    <row r="341" spans="1:24">
      <c r="A341" s="25" t="s">
        <v>1224</v>
      </c>
      <c r="B341" s="25" t="s">
        <v>749</v>
      </c>
      <c r="C341" s="25" t="s">
        <v>750</v>
      </c>
      <c r="D341" s="25" t="s">
        <v>751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</v>
      </c>
      <c r="K341" s="31">
        <f>2496</f>
        <v>2496</v>
      </c>
      <c r="L341" s="32" t="s">
        <v>1116</v>
      </c>
      <c r="M341" s="31">
        <f>2542</f>
        <v>2542</v>
      </c>
      <c r="N341" s="32" t="s">
        <v>1145</v>
      </c>
      <c r="O341" s="31">
        <f>2386</f>
        <v>2386</v>
      </c>
      <c r="P341" s="32" t="s">
        <v>876</v>
      </c>
      <c r="Q341" s="31">
        <f>2456</f>
        <v>2456</v>
      </c>
      <c r="R341" s="32" t="s">
        <v>777</v>
      </c>
      <c r="S341" s="33">
        <f>2465.05</f>
        <v>2465.0500000000002</v>
      </c>
      <c r="T341" s="30">
        <f>22470</f>
        <v>22470</v>
      </c>
      <c r="U341" s="30" t="str">
        <f>"－"</f>
        <v>－</v>
      </c>
      <c r="V341" s="30">
        <f>55581202</f>
        <v>55581202</v>
      </c>
      <c r="W341" s="30" t="str">
        <f>"－"</f>
        <v>－</v>
      </c>
      <c r="X341" s="34">
        <f>19</f>
        <v>19</v>
      </c>
    </row>
    <row r="342" spans="1:24">
      <c r="A342" s="25" t="s">
        <v>1224</v>
      </c>
      <c r="B342" s="25" t="s">
        <v>752</v>
      </c>
      <c r="C342" s="25" t="s">
        <v>1031</v>
      </c>
      <c r="D342" s="25" t="s">
        <v>1030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</v>
      </c>
      <c r="K342" s="31">
        <f>2297</f>
        <v>2297</v>
      </c>
      <c r="L342" s="32" t="s">
        <v>1116</v>
      </c>
      <c r="M342" s="31">
        <f>2369</f>
        <v>2369</v>
      </c>
      <c r="N342" s="32" t="s">
        <v>777</v>
      </c>
      <c r="O342" s="31">
        <f>2183</f>
        <v>2183</v>
      </c>
      <c r="P342" s="32" t="s">
        <v>876</v>
      </c>
      <c r="Q342" s="31">
        <f>2321</f>
        <v>2321</v>
      </c>
      <c r="R342" s="32" t="s">
        <v>777</v>
      </c>
      <c r="S342" s="33">
        <f>2269.11</f>
        <v>2269.11</v>
      </c>
      <c r="T342" s="30">
        <f>81634</f>
        <v>81634</v>
      </c>
      <c r="U342" s="30">
        <f>43</f>
        <v>43</v>
      </c>
      <c r="V342" s="30">
        <f>186304678</f>
        <v>186304678</v>
      </c>
      <c r="W342" s="30">
        <f>97721</f>
        <v>97721</v>
      </c>
      <c r="X342" s="34">
        <f>19</f>
        <v>19</v>
      </c>
    </row>
    <row r="343" spans="1:24">
      <c r="A343" s="25" t="s">
        <v>1224</v>
      </c>
      <c r="B343" s="25" t="s">
        <v>753</v>
      </c>
      <c r="C343" s="25" t="s">
        <v>754</v>
      </c>
      <c r="D343" s="25" t="s">
        <v>755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8313</f>
        <v>8313</v>
      </c>
      <c r="L343" s="32" t="s">
        <v>1116</v>
      </c>
      <c r="M343" s="31">
        <f>8413</f>
        <v>8413</v>
      </c>
      <c r="N343" s="32" t="s">
        <v>1111</v>
      </c>
      <c r="O343" s="31">
        <f>8175</f>
        <v>8175</v>
      </c>
      <c r="P343" s="32" t="s">
        <v>682</v>
      </c>
      <c r="Q343" s="31">
        <f>8202</f>
        <v>8202</v>
      </c>
      <c r="R343" s="32" t="s">
        <v>777</v>
      </c>
      <c r="S343" s="33">
        <f>8264</f>
        <v>8264</v>
      </c>
      <c r="T343" s="30">
        <f>259119</f>
        <v>259119</v>
      </c>
      <c r="U343" s="30">
        <f>240000</f>
        <v>240000</v>
      </c>
      <c r="V343" s="30">
        <f>2127347298</f>
        <v>2127347298</v>
      </c>
      <c r="W343" s="30">
        <f>1968328800</f>
        <v>1968328800</v>
      </c>
      <c r="X343" s="34">
        <f>19</f>
        <v>19</v>
      </c>
    </row>
    <row r="344" spans="1:24">
      <c r="A344" s="25" t="s">
        <v>1224</v>
      </c>
      <c r="B344" s="25" t="s">
        <v>756</v>
      </c>
      <c r="C344" s="25" t="s">
        <v>757</v>
      </c>
      <c r="D344" s="25" t="s">
        <v>758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5633</f>
        <v>5633</v>
      </c>
      <c r="L344" s="32" t="s">
        <v>1116</v>
      </c>
      <c r="M344" s="31">
        <f>5759</f>
        <v>5759</v>
      </c>
      <c r="N344" s="32" t="s">
        <v>674</v>
      </c>
      <c r="O344" s="31">
        <f>5619</f>
        <v>5619</v>
      </c>
      <c r="P344" s="32" t="s">
        <v>1116</v>
      </c>
      <c r="Q344" s="31">
        <f>5681</f>
        <v>5681</v>
      </c>
      <c r="R344" s="32" t="s">
        <v>777</v>
      </c>
      <c r="S344" s="33">
        <f>5692.26</f>
        <v>5692.26</v>
      </c>
      <c r="T344" s="30">
        <f>1919097</f>
        <v>1919097</v>
      </c>
      <c r="U344" s="30">
        <f>1884112</f>
        <v>1884112</v>
      </c>
      <c r="V344" s="30">
        <f>10900191121</f>
        <v>10900191121</v>
      </c>
      <c r="W344" s="30">
        <f>10702977221</f>
        <v>10702977221</v>
      </c>
      <c r="X344" s="34">
        <f>19</f>
        <v>19</v>
      </c>
    </row>
    <row r="345" spans="1:24">
      <c r="A345" s="25" t="s">
        <v>1224</v>
      </c>
      <c r="B345" s="25" t="s">
        <v>762</v>
      </c>
      <c r="C345" s="25" t="s">
        <v>763</v>
      </c>
      <c r="D345" s="25" t="s">
        <v>764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26470</f>
        <v>26470</v>
      </c>
      <c r="L345" s="32" t="s">
        <v>1116</v>
      </c>
      <c r="M345" s="31">
        <f>27245</f>
        <v>27245</v>
      </c>
      <c r="N345" s="32" t="s">
        <v>1111</v>
      </c>
      <c r="O345" s="31">
        <f>24260</f>
        <v>24260</v>
      </c>
      <c r="P345" s="32" t="s">
        <v>876</v>
      </c>
      <c r="Q345" s="31">
        <f>26140</f>
        <v>26140</v>
      </c>
      <c r="R345" s="32" t="s">
        <v>777</v>
      </c>
      <c r="S345" s="33">
        <f>25710.26</f>
        <v>25710.26</v>
      </c>
      <c r="T345" s="30">
        <f>94809</f>
        <v>94809</v>
      </c>
      <c r="U345" s="30" t="str">
        <f>"－"</f>
        <v>－</v>
      </c>
      <c r="V345" s="30">
        <f>2450232165</f>
        <v>2450232165</v>
      </c>
      <c r="W345" s="30" t="str">
        <f>"－"</f>
        <v>－</v>
      </c>
      <c r="X345" s="34">
        <f>19</f>
        <v>19</v>
      </c>
    </row>
    <row r="346" spans="1:24">
      <c r="A346" s="25" t="s">
        <v>1224</v>
      </c>
      <c r="B346" s="25" t="s">
        <v>765</v>
      </c>
      <c r="C346" s="25" t="s">
        <v>766</v>
      </c>
      <c r="D346" s="25" t="s">
        <v>767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12090</f>
        <v>12090</v>
      </c>
      <c r="L346" s="32" t="s">
        <v>1116</v>
      </c>
      <c r="M346" s="31">
        <f>12440</f>
        <v>12440</v>
      </c>
      <c r="N346" s="32" t="s">
        <v>676</v>
      </c>
      <c r="O346" s="31">
        <f>11375</f>
        <v>11375</v>
      </c>
      <c r="P346" s="32" t="s">
        <v>876</v>
      </c>
      <c r="Q346" s="31">
        <f>12270</f>
        <v>12270</v>
      </c>
      <c r="R346" s="32" t="s">
        <v>777</v>
      </c>
      <c r="S346" s="33">
        <f>11965.53</f>
        <v>11965.53</v>
      </c>
      <c r="T346" s="30">
        <f>252977</f>
        <v>252977</v>
      </c>
      <c r="U346" s="30">
        <f>12</f>
        <v>12</v>
      </c>
      <c r="V346" s="30">
        <f>3046041460</f>
        <v>3046041460</v>
      </c>
      <c r="W346" s="30">
        <f>147150</f>
        <v>147150</v>
      </c>
      <c r="X346" s="34">
        <f>19</f>
        <v>19</v>
      </c>
    </row>
    <row r="347" spans="1:24">
      <c r="A347" s="25" t="s">
        <v>1224</v>
      </c>
      <c r="B347" s="25" t="s">
        <v>768</v>
      </c>
      <c r="C347" s="25" t="s">
        <v>769</v>
      </c>
      <c r="D347" s="25" t="s">
        <v>770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18875</f>
        <v>18875</v>
      </c>
      <c r="L347" s="32" t="s">
        <v>1116</v>
      </c>
      <c r="M347" s="31">
        <f>20025</f>
        <v>20025</v>
      </c>
      <c r="N347" s="32" t="s">
        <v>876</v>
      </c>
      <c r="O347" s="31">
        <f>18250</f>
        <v>18250</v>
      </c>
      <c r="P347" s="32" t="s">
        <v>676</v>
      </c>
      <c r="Q347" s="31">
        <f>18495</f>
        <v>18495</v>
      </c>
      <c r="R347" s="32" t="s">
        <v>777</v>
      </c>
      <c r="S347" s="33">
        <f>19070</f>
        <v>19070</v>
      </c>
      <c r="T347" s="30">
        <f>71416</f>
        <v>71416</v>
      </c>
      <c r="U347" s="30">
        <f>8</f>
        <v>8</v>
      </c>
      <c r="V347" s="30">
        <f>1370569520</f>
        <v>1370569520</v>
      </c>
      <c r="W347" s="30">
        <f>147525</f>
        <v>147525</v>
      </c>
      <c r="X347" s="34">
        <f>19</f>
        <v>19</v>
      </c>
    </row>
    <row r="348" spans="1:24">
      <c r="A348" s="25" t="s">
        <v>1224</v>
      </c>
      <c r="B348" s="25" t="s">
        <v>771</v>
      </c>
      <c r="C348" s="25" t="s">
        <v>772</v>
      </c>
      <c r="D348" s="25" t="s">
        <v>773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4137</f>
        <v>4137</v>
      </c>
      <c r="L348" s="32" t="s">
        <v>1116</v>
      </c>
      <c r="M348" s="31">
        <f>4230</f>
        <v>4230</v>
      </c>
      <c r="N348" s="32" t="s">
        <v>876</v>
      </c>
      <c r="O348" s="31">
        <f>4137</f>
        <v>4137</v>
      </c>
      <c r="P348" s="32" t="s">
        <v>1116</v>
      </c>
      <c r="Q348" s="31">
        <f>4153</f>
        <v>4153</v>
      </c>
      <c r="R348" s="32" t="s">
        <v>1111</v>
      </c>
      <c r="S348" s="33">
        <f>4168.5</f>
        <v>4168.5</v>
      </c>
      <c r="T348" s="30">
        <f>33850</f>
        <v>33850</v>
      </c>
      <c r="U348" s="30">
        <f>24000</f>
        <v>24000</v>
      </c>
      <c r="V348" s="30">
        <f>141166250</f>
        <v>141166250</v>
      </c>
      <c r="W348" s="30">
        <f>100080000</f>
        <v>100080000</v>
      </c>
      <c r="X348" s="34">
        <f>14</f>
        <v>14</v>
      </c>
    </row>
    <row r="349" spans="1:24">
      <c r="A349" s="25" t="s">
        <v>1224</v>
      </c>
      <c r="B349" s="25" t="s">
        <v>774</v>
      </c>
      <c r="C349" s="25" t="s">
        <v>775</v>
      </c>
      <c r="D349" s="25" t="s">
        <v>776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10</v>
      </c>
      <c r="K349" s="31">
        <f>5256</f>
        <v>5256</v>
      </c>
      <c r="L349" s="32" t="s">
        <v>1116</v>
      </c>
      <c r="M349" s="31">
        <f>5376</f>
        <v>5376</v>
      </c>
      <c r="N349" s="32" t="s">
        <v>1111</v>
      </c>
      <c r="O349" s="31">
        <f>5041</f>
        <v>5041</v>
      </c>
      <c r="P349" s="32" t="s">
        <v>684</v>
      </c>
      <c r="Q349" s="31">
        <f>5257</f>
        <v>5257</v>
      </c>
      <c r="R349" s="32" t="s">
        <v>777</v>
      </c>
      <c r="S349" s="33">
        <f>5192.47</f>
        <v>5192.47</v>
      </c>
      <c r="T349" s="30">
        <f>507610</f>
        <v>507610</v>
      </c>
      <c r="U349" s="30">
        <f>495780</f>
        <v>495780</v>
      </c>
      <c r="V349" s="30">
        <f>2614652249</f>
        <v>2614652249</v>
      </c>
      <c r="W349" s="30">
        <f>2553069919</f>
        <v>2553069919</v>
      </c>
      <c r="X349" s="34">
        <f>19</f>
        <v>19</v>
      </c>
    </row>
    <row r="350" spans="1:24">
      <c r="A350" s="25" t="s">
        <v>1224</v>
      </c>
      <c r="B350" s="25" t="s">
        <v>786</v>
      </c>
      <c r="C350" s="25" t="s">
        <v>787</v>
      </c>
      <c r="D350" s="25" t="s">
        <v>788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2530</f>
        <v>2530</v>
      </c>
      <c r="L350" s="32" t="s">
        <v>1116</v>
      </c>
      <c r="M350" s="31">
        <f>2605</f>
        <v>2605</v>
      </c>
      <c r="N350" s="32" t="s">
        <v>676</v>
      </c>
      <c r="O350" s="31">
        <f>2382</f>
        <v>2382</v>
      </c>
      <c r="P350" s="32" t="s">
        <v>876</v>
      </c>
      <c r="Q350" s="31">
        <f>2570.5</f>
        <v>2570.5</v>
      </c>
      <c r="R350" s="32" t="s">
        <v>777</v>
      </c>
      <c r="S350" s="33">
        <f>2506.26</f>
        <v>2506.2600000000002</v>
      </c>
      <c r="T350" s="30">
        <f>1804280</f>
        <v>1804280</v>
      </c>
      <c r="U350" s="30">
        <f>400020</f>
        <v>400020</v>
      </c>
      <c r="V350" s="30">
        <f>4549466660</f>
        <v>4549466660</v>
      </c>
      <c r="W350" s="30">
        <f>996898125</f>
        <v>996898125</v>
      </c>
      <c r="X350" s="34">
        <f>19</f>
        <v>19</v>
      </c>
    </row>
    <row r="351" spans="1:24">
      <c r="A351" s="25" t="s">
        <v>1224</v>
      </c>
      <c r="B351" s="25" t="s">
        <v>789</v>
      </c>
      <c r="C351" s="25" t="s">
        <v>790</v>
      </c>
      <c r="D351" s="25" t="s">
        <v>791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2161.5</f>
        <v>2161.5</v>
      </c>
      <c r="L351" s="32" t="s">
        <v>1116</v>
      </c>
      <c r="M351" s="31">
        <f>2209</f>
        <v>2209</v>
      </c>
      <c r="N351" s="32" t="s">
        <v>777</v>
      </c>
      <c r="O351" s="31">
        <f>2100</f>
        <v>2100</v>
      </c>
      <c r="P351" s="32" t="s">
        <v>876</v>
      </c>
      <c r="Q351" s="31">
        <f>2196</f>
        <v>2196</v>
      </c>
      <c r="R351" s="32" t="s">
        <v>777</v>
      </c>
      <c r="S351" s="33">
        <f>2155.42</f>
        <v>2155.42</v>
      </c>
      <c r="T351" s="30">
        <f>977880</f>
        <v>977880</v>
      </c>
      <c r="U351" s="30">
        <f>500010</f>
        <v>500010</v>
      </c>
      <c r="V351" s="30">
        <f>2088231675</f>
        <v>2088231675</v>
      </c>
      <c r="W351" s="30">
        <f>1062821910</f>
        <v>1062821910</v>
      </c>
      <c r="X351" s="34">
        <f>19</f>
        <v>19</v>
      </c>
    </row>
    <row r="352" spans="1:24">
      <c r="A352" s="25" t="s">
        <v>1224</v>
      </c>
      <c r="B352" s="25" t="s">
        <v>792</v>
      </c>
      <c r="C352" s="25" t="s">
        <v>793</v>
      </c>
      <c r="D352" s="25" t="s">
        <v>794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1904</f>
        <v>1904</v>
      </c>
      <c r="L352" s="32" t="s">
        <v>1116</v>
      </c>
      <c r="M352" s="31">
        <f>1965</f>
        <v>1965</v>
      </c>
      <c r="N352" s="32" t="s">
        <v>1111</v>
      </c>
      <c r="O352" s="31">
        <f>1794</f>
        <v>1794</v>
      </c>
      <c r="P352" s="32" t="s">
        <v>684</v>
      </c>
      <c r="Q352" s="31">
        <f>1910</f>
        <v>1910</v>
      </c>
      <c r="R352" s="32" t="s">
        <v>777</v>
      </c>
      <c r="S352" s="33">
        <f>1867.42</f>
        <v>1867.42</v>
      </c>
      <c r="T352" s="30">
        <f>31275</f>
        <v>31275</v>
      </c>
      <c r="U352" s="30" t="str">
        <f>"－"</f>
        <v>－</v>
      </c>
      <c r="V352" s="30">
        <f>58037700</f>
        <v>58037700</v>
      </c>
      <c r="W352" s="30" t="str">
        <f>"－"</f>
        <v>－</v>
      </c>
      <c r="X352" s="34">
        <f>19</f>
        <v>19</v>
      </c>
    </row>
    <row r="353" spans="1:24">
      <c r="A353" s="25" t="s">
        <v>1224</v>
      </c>
      <c r="B353" s="25" t="s">
        <v>795</v>
      </c>
      <c r="C353" s="25" t="s">
        <v>796</v>
      </c>
      <c r="D353" s="25" t="s">
        <v>797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</v>
      </c>
      <c r="K353" s="31">
        <f>2102</f>
        <v>2102</v>
      </c>
      <c r="L353" s="32" t="s">
        <v>1116</v>
      </c>
      <c r="M353" s="31">
        <f>2115</f>
        <v>2115</v>
      </c>
      <c r="N353" s="32" t="s">
        <v>1145</v>
      </c>
      <c r="O353" s="31">
        <f>1957</f>
        <v>1957</v>
      </c>
      <c r="P353" s="32" t="s">
        <v>876</v>
      </c>
      <c r="Q353" s="31">
        <f>2059</f>
        <v>2059</v>
      </c>
      <c r="R353" s="32" t="s">
        <v>777</v>
      </c>
      <c r="S353" s="33">
        <f>2025.84</f>
        <v>2025.84</v>
      </c>
      <c r="T353" s="30">
        <f>73348</f>
        <v>73348</v>
      </c>
      <c r="U353" s="30">
        <f>70000</f>
        <v>70000</v>
      </c>
      <c r="V353" s="30">
        <f>148670185</f>
        <v>148670185</v>
      </c>
      <c r="W353" s="30">
        <f>141853320</f>
        <v>141853320</v>
      </c>
      <c r="X353" s="34">
        <f>19</f>
        <v>19</v>
      </c>
    </row>
    <row r="354" spans="1:24">
      <c r="A354" s="25" t="s">
        <v>1224</v>
      </c>
      <c r="B354" s="25" t="s">
        <v>798</v>
      </c>
      <c r="C354" s="25" t="s">
        <v>799</v>
      </c>
      <c r="D354" s="25" t="s">
        <v>800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</v>
      </c>
      <c r="K354" s="31">
        <f>4415</f>
        <v>4415</v>
      </c>
      <c r="L354" s="32" t="s">
        <v>1116</v>
      </c>
      <c r="M354" s="31">
        <f>4500</f>
        <v>4500</v>
      </c>
      <c r="N354" s="32" t="s">
        <v>1111</v>
      </c>
      <c r="O354" s="31">
        <f>4295</f>
        <v>4295</v>
      </c>
      <c r="P354" s="32" t="s">
        <v>682</v>
      </c>
      <c r="Q354" s="31">
        <f>4360</f>
        <v>4360</v>
      </c>
      <c r="R354" s="32" t="s">
        <v>777</v>
      </c>
      <c r="S354" s="33">
        <f>4388.42</f>
        <v>4388.42</v>
      </c>
      <c r="T354" s="30">
        <f>38410</f>
        <v>38410</v>
      </c>
      <c r="U354" s="30">
        <f>23012</f>
        <v>23012</v>
      </c>
      <c r="V354" s="30">
        <f>166989359</f>
        <v>166989359</v>
      </c>
      <c r="W354" s="30">
        <f>99329274</f>
        <v>99329274</v>
      </c>
      <c r="X354" s="34">
        <f>19</f>
        <v>19</v>
      </c>
    </row>
    <row r="355" spans="1:24">
      <c r="A355" s="25" t="s">
        <v>1224</v>
      </c>
      <c r="B355" s="25" t="s">
        <v>801</v>
      </c>
      <c r="C355" s="25" t="s">
        <v>802</v>
      </c>
      <c r="D355" s="25" t="s">
        <v>803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10</v>
      </c>
      <c r="K355" s="31">
        <f>2804.5</f>
        <v>2804.5</v>
      </c>
      <c r="L355" s="32" t="s">
        <v>1116</v>
      </c>
      <c r="M355" s="31">
        <f>2817.5</f>
        <v>2817.5</v>
      </c>
      <c r="N355" s="32" t="s">
        <v>1111</v>
      </c>
      <c r="O355" s="31">
        <f>2539.5</f>
        <v>2539.5</v>
      </c>
      <c r="P355" s="32" t="s">
        <v>684</v>
      </c>
      <c r="Q355" s="31">
        <f>2693</f>
        <v>2693</v>
      </c>
      <c r="R355" s="32" t="s">
        <v>777</v>
      </c>
      <c r="S355" s="33">
        <f>2669.58</f>
        <v>2669.58</v>
      </c>
      <c r="T355" s="30">
        <f>71750</f>
        <v>71750</v>
      </c>
      <c r="U355" s="30" t="str">
        <f>"－"</f>
        <v>－</v>
      </c>
      <c r="V355" s="30">
        <f>188093535</f>
        <v>188093535</v>
      </c>
      <c r="W355" s="30" t="str">
        <f>"－"</f>
        <v>－</v>
      </c>
      <c r="X355" s="34">
        <f>19</f>
        <v>19</v>
      </c>
    </row>
    <row r="356" spans="1:24">
      <c r="A356" s="25" t="s">
        <v>1224</v>
      </c>
      <c r="B356" s="25" t="s">
        <v>812</v>
      </c>
      <c r="C356" s="25" t="s">
        <v>813</v>
      </c>
      <c r="D356" s="25" t="s">
        <v>814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10</v>
      </c>
      <c r="K356" s="31">
        <f>263.2</f>
        <v>263.2</v>
      </c>
      <c r="L356" s="32" t="s">
        <v>1116</v>
      </c>
      <c r="M356" s="31">
        <f>290</f>
        <v>290</v>
      </c>
      <c r="N356" s="32" t="s">
        <v>683</v>
      </c>
      <c r="O356" s="31">
        <f>242.4</f>
        <v>242.4</v>
      </c>
      <c r="P356" s="32" t="s">
        <v>680</v>
      </c>
      <c r="Q356" s="31">
        <f>269.8</f>
        <v>269.8</v>
      </c>
      <c r="R356" s="32" t="s">
        <v>777</v>
      </c>
      <c r="S356" s="33">
        <f>261.97</f>
        <v>261.97000000000003</v>
      </c>
      <c r="T356" s="30">
        <f>23100</f>
        <v>23100</v>
      </c>
      <c r="U356" s="30" t="str">
        <f>"－"</f>
        <v>－</v>
      </c>
      <c r="V356" s="30">
        <f>6127866</f>
        <v>6127866</v>
      </c>
      <c r="W356" s="30" t="str">
        <f>"－"</f>
        <v>－</v>
      </c>
      <c r="X356" s="34">
        <f>19</f>
        <v>19</v>
      </c>
    </row>
    <row r="357" spans="1:24">
      <c r="A357" s="25" t="s">
        <v>1224</v>
      </c>
      <c r="B357" s="25" t="s">
        <v>804</v>
      </c>
      <c r="C357" s="25" t="s">
        <v>805</v>
      </c>
      <c r="D357" s="25" t="s">
        <v>806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10</v>
      </c>
      <c r="K357" s="31">
        <f>176.4</f>
        <v>176.4</v>
      </c>
      <c r="L357" s="32" t="s">
        <v>1116</v>
      </c>
      <c r="M357" s="31">
        <f>176.4</f>
        <v>176.4</v>
      </c>
      <c r="N357" s="32" t="s">
        <v>1116</v>
      </c>
      <c r="O357" s="31">
        <f>170</f>
        <v>170</v>
      </c>
      <c r="P357" s="32" t="s">
        <v>777</v>
      </c>
      <c r="Q357" s="31">
        <f>170</f>
        <v>170</v>
      </c>
      <c r="R357" s="32" t="s">
        <v>777</v>
      </c>
      <c r="S357" s="33">
        <f>173.18</f>
        <v>173.18</v>
      </c>
      <c r="T357" s="30">
        <f>60910</f>
        <v>60910</v>
      </c>
      <c r="U357" s="30">
        <f>30</f>
        <v>30</v>
      </c>
      <c r="V357" s="30">
        <f>10533694</f>
        <v>10533694</v>
      </c>
      <c r="W357" s="30">
        <f>5155</f>
        <v>5155</v>
      </c>
      <c r="X357" s="34">
        <f>19</f>
        <v>19</v>
      </c>
    </row>
    <row r="358" spans="1:24">
      <c r="A358" s="25" t="s">
        <v>1224</v>
      </c>
      <c r="B358" s="25" t="s">
        <v>807</v>
      </c>
      <c r="C358" s="25" t="s">
        <v>808</v>
      </c>
      <c r="D358" s="25" t="s">
        <v>809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677.4</f>
        <v>677.4</v>
      </c>
      <c r="L358" s="32" t="s">
        <v>1145</v>
      </c>
      <c r="M358" s="31">
        <f>686.9</f>
        <v>686.9</v>
      </c>
      <c r="N358" s="32" t="s">
        <v>677</v>
      </c>
      <c r="O358" s="31">
        <f>676</f>
        <v>676</v>
      </c>
      <c r="P358" s="32" t="s">
        <v>876</v>
      </c>
      <c r="Q358" s="31">
        <f>679.9</f>
        <v>679.9</v>
      </c>
      <c r="R358" s="32" t="s">
        <v>1111</v>
      </c>
      <c r="S358" s="33">
        <f>679.41</f>
        <v>679.41</v>
      </c>
      <c r="T358" s="30">
        <f>2840</f>
        <v>2840</v>
      </c>
      <c r="U358" s="30" t="str">
        <f>"－"</f>
        <v>－</v>
      </c>
      <c r="V358" s="30">
        <f>1926487</f>
        <v>1926487</v>
      </c>
      <c r="W358" s="30" t="str">
        <f>"－"</f>
        <v>－</v>
      </c>
      <c r="X358" s="34">
        <f>10</f>
        <v>10</v>
      </c>
    </row>
    <row r="359" spans="1:24">
      <c r="A359" s="25" t="s">
        <v>1224</v>
      </c>
      <c r="B359" s="25" t="s">
        <v>815</v>
      </c>
      <c r="C359" s="25" t="s">
        <v>816</v>
      </c>
      <c r="D359" s="25" t="s">
        <v>817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</v>
      </c>
      <c r="K359" s="31">
        <f>1535</f>
        <v>1535</v>
      </c>
      <c r="L359" s="32" t="s">
        <v>1116</v>
      </c>
      <c r="M359" s="31">
        <f>1568</f>
        <v>1568</v>
      </c>
      <c r="N359" s="32" t="s">
        <v>1111</v>
      </c>
      <c r="O359" s="31">
        <f>1358</f>
        <v>1358</v>
      </c>
      <c r="P359" s="32" t="s">
        <v>876</v>
      </c>
      <c r="Q359" s="31">
        <f>1488</f>
        <v>1488</v>
      </c>
      <c r="R359" s="32" t="s">
        <v>777</v>
      </c>
      <c r="S359" s="33">
        <f>1463.79</f>
        <v>1463.79</v>
      </c>
      <c r="T359" s="30">
        <f>350263</f>
        <v>350263</v>
      </c>
      <c r="U359" s="30">
        <f>1263</f>
        <v>1263</v>
      </c>
      <c r="V359" s="30">
        <f>515837307</f>
        <v>515837307</v>
      </c>
      <c r="W359" s="30">
        <f>1758676</f>
        <v>1758676</v>
      </c>
      <c r="X359" s="34">
        <f>19</f>
        <v>19</v>
      </c>
    </row>
    <row r="360" spans="1:24">
      <c r="A360" s="25" t="s">
        <v>1224</v>
      </c>
      <c r="B360" s="25" t="s">
        <v>818</v>
      </c>
      <c r="C360" s="25" t="s">
        <v>819</v>
      </c>
      <c r="D360" s="25" t="s">
        <v>820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</v>
      </c>
      <c r="K360" s="31">
        <f>917</f>
        <v>917</v>
      </c>
      <c r="L360" s="32" t="s">
        <v>1116</v>
      </c>
      <c r="M360" s="31">
        <f>936</f>
        <v>936</v>
      </c>
      <c r="N360" s="32" t="s">
        <v>684</v>
      </c>
      <c r="O360" s="31">
        <f>897</f>
        <v>897</v>
      </c>
      <c r="P360" s="32" t="s">
        <v>777</v>
      </c>
      <c r="Q360" s="31">
        <f>897</f>
        <v>897</v>
      </c>
      <c r="R360" s="32" t="s">
        <v>777</v>
      </c>
      <c r="S360" s="33">
        <f>915.95</f>
        <v>915.95</v>
      </c>
      <c r="T360" s="30">
        <f>5198</f>
        <v>5198</v>
      </c>
      <c r="U360" s="30" t="str">
        <f>"－"</f>
        <v>－</v>
      </c>
      <c r="V360" s="30">
        <f>4749208</f>
        <v>4749208</v>
      </c>
      <c r="W360" s="30" t="str">
        <f>"－"</f>
        <v>－</v>
      </c>
      <c r="X360" s="34">
        <f>19</f>
        <v>19</v>
      </c>
    </row>
    <row r="361" spans="1:24">
      <c r="A361" s="25" t="s">
        <v>1224</v>
      </c>
      <c r="B361" s="25" t="s">
        <v>821</v>
      </c>
      <c r="C361" s="25" t="s">
        <v>822</v>
      </c>
      <c r="D361" s="25" t="s">
        <v>823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10</v>
      </c>
      <c r="K361" s="31">
        <f>710.6</f>
        <v>710.6</v>
      </c>
      <c r="L361" s="32" t="s">
        <v>1116</v>
      </c>
      <c r="M361" s="31">
        <f>721.8</f>
        <v>721.8</v>
      </c>
      <c r="N361" s="32" t="s">
        <v>682</v>
      </c>
      <c r="O361" s="31">
        <f>710</f>
        <v>710</v>
      </c>
      <c r="P361" s="32" t="s">
        <v>1145</v>
      </c>
      <c r="Q361" s="31">
        <f>717.4</f>
        <v>717.4</v>
      </c>
      <c r="R361" s="32" t="s">
        <v>777</v>
      </c>
      <c r="S361" s="33">
        <f>716.69</f>
        <v>716.69</v>
      </c>
      <c r="T361" s="30">
        <f>6867320</f>
        <v>6867320</v>
      </c>
      <c r="U361" s="30">
        <f>3859830</f>
        <v>3859830</v>
      </c>
      <c r="V361" s="30">
        <f>4922670291</f>
        <v>4922670291</v>
      </c>
      <c r="W361" s="30">
        <f>2770924178</f>
        <v>2770924178</v>
      </c>
      <c r="X361" s="34">
        <f>19</f>
        <v>19</v>
      </c>
    </row>
    <row r="362" spans="1:24">
      <c r="A362" s="25" t="s">
        <v>1224</v>
      </c>
      <c r="B362" s="25" t="s">
        <v>824</v>
      </c>
      <c r="C362" s="25" t="s">
        <v>825</v>
      </c>
      <c r="D362" s="25" t="s">
        <v>826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10</v>
      </c>
      <c r="K362" s="31">
        <f>686.5</f>
        <v>686.5</v>
      </c>
      <c r="L362" s="32" t="s">
        <v>1116</v>
      </c>
      <c r="M362" s="31">
        <f>701.8</f>
        <v>701.8</v>
      </c>
      <c r="N362" s="32" t="s">
        <v>674</v>
      </c>
      <c r="O362" s="31">
        <f>686.5</f>
        <v>686.5</v>
      </c>
      <c r="P362" s="32" t="s">
        <v>1116</v>
      </c>
      <c r="Q362" s="31">
        <f>696.2</f>
        <v>696.2</v>
      </c>
      <c r="R362" s="32" t="s">
        <v>777</v>
      </c>
      <c r="S362" s="33">
        <f>694.28</f>
        <v>694.28</v>
      </c>
      <c r="T362" s="30">
        <f>2407010</f>
        <v>2407010</v>
      </c>
      <c r="U362" s="30">
        <f>2061220</f>
        <v>2061220</v>
      </c>
      <c r="V362" s="30">
        <f>1667254292</f>
        <v>1667254292</v>
      </c>
      <c r="W362" s="30">
        <f>1427437412</f>
        <v>1427437412</v>
      </c>
      <c r="X362" s="34">
        <f>18</f>
        <v>18</v>
      </c>
    </row>
    <row r="363" spans="1:24">
      <c r="A363" s="25" t="s">
        <v>1224</v>
      </c>
      <c r="B363" s="25" t="s">
        <v>827</v>
      </c>
      <c r="C363" s="25" t="s">
        <v>828</v>
      </c>
      <c r="D363" s="25" t="s">
        <v>829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1152</f>
        <v>1152</v>
      </c>
      <c r="L363" s="32" t="s">
        <v>1116</v>
      </c>
      <c r="M363" s="31">
        <f>1179</f>
        <v>1179</v>
      </c>
      <c r="N363" s="32" t="s">
        <v>676</v>
      </c>
      <c r="O363" s="31">
        <f>1106</f>
        <v>1106</v>
      </c>
      <c r="P363" s="32" t="s">
        <v>675</v>
      </c>
      <c r="Q363" s="31">
        <f>1153</f>
        <v>1153</v>
      </c>
      <c r="R363" s="32" t="s">
        <v>777</v>
      </c>
      <c r="S363" s="33">
        <f>1140</f>
        <v>1140</v>
      </c>
      <c r="T363" s="30">
        <f>73476</f>
        <v>73476</v>
      </c>
      <c r="U363" s="30">
        <f>3</f>
        <v>3</v>
      </c>
      <c r="V363" s="30">
        <f>83707009</f>
        <v>83707009</v>
      </c>
      <c r="W363" s="30">
        <f>3174</f>
        <v>3174</v>
      </c>
      <c r="X363" s="34">
        <f>19</f>
        <v>19</v>
      </c>
    </row>
    <row r="364" spans="1:24">
      <c r="A364" s="25" t="s">
        <v>1224</v>
      </c>
      <c r="B364" s="25" t="s">
        <v>836</v>
      </c>
      <c r="C364" s="25" t="s">
        <v>837</v>
      </c>
      <c r="D364" s="25" t="s">
        <v>838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10</v>
      </c>
      <c r="K364" s="31">
        <f>2599.5</f>
        <v>2599.5</v>
      </c>
      <c r="L364" s="32" t="s">
        <v>1116</v>
      </c>
      <c r="M364" s="31">
        <f>2651.5</f>
        <v>2651.5</v>
      </c>
      <c r="N364" s="32" t="s">
        <v>777</v>
      </c>
      <c r="O364" s="31">
        <f>2480.5</f>
        <v>2480.5</v>
      </c>
      <c r="P364" s="32" t="s">
        <v>876</v>
      </c>
      <c r="Q364" s="31">
        <f>2646</f>
        <v>2646</v>
      </c>
      <c r="R364" s="32" t="s">
        <v>777</v>
      </c>
      <c r="S364" s="33">
        <f>2553.29</f>
        <v>2553.29</v>
      </c>
      <c r="T364" s="30">
        <f>21510</f>
        <v>21510</v>
      </c>
      <c r="U364" s="30" t="str">
        <f>"－"</f>
        <v>－</v>
      </c>
      <c r="V364" s="30">
        <f>54822045</f>
        <v>54822045</v>
      </c>
      <c r="W364" s="30" t="str">
        <f>"－"</f>
        <v>－</v>
      </c>
      <c r="X364" s="34">
        <f>19</f>
        <v>19</v>
      </c>
    </row>
    <row r="365" spans="1:24">
      <c r="A365" s="25" t="s">
        <v>1224</v>
      </c>
      <c r="B365" s="25" t="s">
        <v>839</v>
      </c>
      <c r="C365" s="25" t="s">
        <v>840</v>
      </c>
      <c r="D365" s="25" t="s">
        <v>841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10</v>
      </c>
      <c r="K365" s="31">
        <f>2595</f>
        <v>2595</v>
      </c>
      <c r="L365" s="32" t="s">
        <v>1116</v>
      </c>
      <c r="M365" s="31">
        <f>2662.5</f>
        <v>2662.5</v>
      </c>
      <c r="N365" s="32" t="s">
        <v>777</v>
      </c>
      <c r="O365" s="31">
        <f>2506</f>
        <v>2506</v>
      </c>
      <c r="P365" s="32" t="s">
        <v>876</v>
      </c>
      <c r="Q365" s="31">
        <f>2657.5</f>
        <v>2657.5</v>
      </c>
      <c r="R365" s="32" t="s">
        <v>777</v>
      </c>
      <c r="S365" s="33">
        <f>2570.74</f>
        <v>2570.7399999999998</v>
      </c>
      <c r="T365" s="30">
        <f>85570</f>
        <v>85570</v>
      </c>
      <c r="U365" s="30" t="str">
        <f>"－"</f>
        <v>－</v>
      </c>
      <c r="V365" s="30">
        <f>218671590</f>
        <v>218671590</v>
      </c>
      <c r="W365" s="30" t="str">
        <f>"－"</f>
        <v>－</v>
      </c>
      <c r="X365" s="34">
        <f>19</f>
        <v>19</v>
      </c>
    </row>
    <row r="366" spans="1:24">
      <c r="A366" s="25" t="s">
        <v>1224</v>
      </c>
      <c r="B366" s="25" t="s">
        <v>830</v>
      </c>
      <c r="C366" s="25" t="s">
        <v>831</v>
      </c>
      <c r="D366" s="25" t="s">
        <v>832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10</v>
      </c>
      <c r="K366" s="31">
        <f>5359</f>
        <v>5359</v>
      </c>
      <c r="L366" s="32" t="s">
        <v>1116</v>
      </c>
      <c r="M366" s="31">
        <f>5436</f>
        <v>5436</v>
      </c>
      <c r="N366" s="32" t="s">
        <v>1111</v>
      </c>
      <c r="O366" s="31">
        <f>5276</f>
        <v>5276</v>
      </c>
      <c r="P366" s="32" t="s">
        <v>678</v>
      </c>
      <c r="Q366" s="31">
        <f>5317</f>
        <v>5317</v>
      </c>
      <c r="R366" s="32" t="s">
        <v>777</v>
      </c>
      <c r="S366" s="33">
        <f>5322.38</f>
        <v>5322.38</v>
      </c>
      <c r="T366" s="30">
        <f>111740</f>
        <v>111740</v>
      </c>
      <c r="U366" s="30">
        <f>40000</f>
        <v>40000</v>
      </c>
      <c r="V366" s="30">
        <f>594998540</f>
        <v>594998540</v>
      </c>
      <c r="W366" s="30">
        <f>212340000</f>
        <v>212340000</v>
      </c>
      <c r="X366" s="34">
        <f>8</f>
        <v>8</v>
      </c>
    </row>
    <row r="367" spans="1:24">
      <c r="A367" s="25" t="s">
        <v>1224</v>
      </c>
      <c r="B367" s="25" t="s">
        <v>833</v>
      </c>
      <c r="C367" s="25" t="s">
        <v>834</v>
      </c>
      <c r="D367" s="25" t="s">
        <v>835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10</v>
      </c>
      <c r="K367" s="31">
        <f>4225</f>
        <v>4225</v>
      </c>
      <c r="L367" s="32" t="s">
        <v>1145</v>
      </c>
      <c r="M367" s="31">
        <f>4288</f>
        <v>4288</v>
      </c>
      <c r="N367" s="32" t="s">
        <v>1123</v>
      </c>
      <c r="O367" s="31">
        <f>4224</f>
        <v>4224</v>
      </c>
      <c r="P367" s="32" t="s">
        <v>1145</v>
      </c>
      <c r="Q367" s="31">
        <f>4257</f>
        <v>4257</v>
      </c>
      <c r="R367" s="32" t="s">
        <v>680</v>
      </c>
      <c r="S367" s="33">
        <f>4260.88</f>
        <v>4260.88</v>
      </c>
      <c r="T367" s="30">
        <f>25690</f>
        <v>25690</v>
      </c>
      <c r="U367" s="30">
        <f>10</f>
        <v>10</v>
      </c>
      <c r="V367" s="30">
        <f>109657910</f>
        <v>109657910</v>
      </c>
      <c r="W367" s="30">
        <f>42570</f>
        <v>42570</v>
      </c>
      <c r="X367" s="34">
        <f>8</f>
        <v>8</v>
      </c>
    </row>
    <row r="368" spans="1:24">
      <c r="A368" s="25" t="s">
        <v>1224</v>
      </c>
      <c r="B368" s="25" t="s">
        <v>842</v>
      </c>
      <c r="C368" s="25" t="s">
        <v>843</v>
      </c>
      <c r="D368" s="25" t="s">
        <v>844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10</v>
      </c>
      <c r="K368" s="31">
        <f>1950</f>
        <v>1950</v>
      </c>
      <c r="L368" s="32" t="s">
        <v>1116</v>
      </c>
      <c r="M368" s="31">
        <f>1980</f>
        <v>1980</v>
      </c>
      <c r="N368" s="32" t="s">
        <v>682</v>
      </c>
      <c r="O368" s="31">
        <f>1948</f>
        <v>1948</v>
      </c>
      <c r="P368" s="32" t="s">
        <v>876</v>
      </c>
      <c r="Q368" s="31">
        <f>1969.5</f>
        <v>1969.5</v>
      </c>
      <c r="R368" s="32" t="s">
        <v>777</v>
      </c>
      <c r="S368" s="33">
        <f>1964.08</f>
        <v>1964.08</v>
      </c>
      <c r="T368" s="30">
        <f>6360</f>
        <v>6360</v>
      </c>
      <c r="U368" s="30" t="str">
        <f>"－"</f>
        <v>－</v>
      </c>
      <c r="V368" s="30">
        <f>12518140</f>
        <v>12518140</v>
      </c>
      <c r="W368" s="30" t="str">
        <f>"－"</f>
        <v>－</v>
      </c>
      <c r="X368" s="34">
        <f>12</f>
        <v>12</v>
      </c>
    </row>
    <row r="369" spans="1:24">
      <c r="A369" s="25" t="s">
        <v>1224</v>
      </c>
      <c r="B369" s="25" t="s">
        <v>845</v>
      </c>
      <c r="C369" s="25" t="s">
        <v>846</v>
      </c>
      <c r="D369" s="25" t="s">
        <v>847</v>
      </c>
      <c r="E369" s="26" t="s">
        <v>43</v>
      </c>
      <c r="F369" s="27" t="s">
        <v>43</v>
      </c>
      <c r="G369" s="28" t="s">
        <v>43</v>
      </c>
      <c r="H369" s="29"/>
      <c r="I369" s="29" t="s">
        <v>44</v>
      </c>
      <c r="J369" s="30">
        <v>1</v>
      </c>
      <c r="K369" s="31">
        <f>1398</f>
        <v>1398</v>
      </c>
      <c r="L369" s="32" t="s">
        <v>1116</v>
      </c>
      <c r="M369" s="31">
        <f>1421</f>
        <v>1421</v>
      </c>
      <c r="N369" s="32" t="s">
        <v>683</v>
      </c>
      <c r="O369" s="31">
        <f>1319</f>
        <v>1319</v>
      </c>
      <c r="P369" s="32" t="s">
        <v>1123</v>
      </c>
      <c r="Q369" s="31">
        <f>1358</f>
        <v>1358</v>
      </c>
      <c r="R369" s="32" t="s">
        <v>777</v>
      </c>
      <c r="S369" s="33">
        <f>1362.21</f>
        <v>1362.21</v>
      </c>
      <c r="T369" s="30">
        <f>4409</f>
        <v>4409</v>
      </c>
      <c r="U369" s="30" t="str">
        <f>"－"</f>
        <v>－</v>
      </c>
      <c r="V369" s="30">
        <f>6032073</f>
        <v>6032073</v>
      </c>
      <c r="W369" s="30" t="str">
        <f>"－"</f>
        <v>－</v>
      </c>
      <c r="X369" s="34">
        <f>19</f>
        <v>19</v>
      </c>
    </row>
    <row r="370" spans="1:24">
      <c r="A370" s="25" t="s">
        <v>1224</v>
      </c>
      <c r="B370" s="25" t="s">
        <v>848</v>
      </c>
      <c r="C370" s="25" t="s">
        <v>849</v>
      </c>
      <c r="D370" s="25" t="s">
        <v>850</v>
      </c>
      <c r="E370" s="26" t="s">
        <v>43</v>
      </c>
      <c r="F370" s="27" t="s">
        <v>43</v>
      </c>
      <c r="G370" s="28" t="s">
        <v>43</v>
      </c>
      <c r="H370" s="29"/>
      <c r="I370" s="29" t="s">
        <v>44</v>
      </c>
      <c r="J370" s="30">
        <v>1</v>
      </c>
      <c r="K370" s="31">
        <f>1146</f>
        <v>1146</v>
      </c>
      <c r="L370" s="32" t="s">
        <v>1116</v>
      </c>
      <c r="M370" s="31">
        <f>1158</f>
        <v>1158</v>
      </c>
      <c r="N370" s="32" t="s">
        <v>1111</v>
      </c>
      <c r="O370" s="31">
        <f>1063</f>
        <v>1063</v>
      </c>
      <c r="P370" s="32" t="s">
        <v>876</v>
      </c>
      <c r="Q370" s="31">
        <f>1120</f>
        <v>1120</v>
      </c>
      <c r="R370" s="32" t="s">
        <v>777</v>
      </c>
      <c r="S370" s="33">
        <f>1117.74</f>
        <v>1117.74</v>
      </c>
      <c r="T370" s="30">
        <f>3403610</f>
        <v>3403610</v>
      </c>
      <c r="U370" s="30">
        <f>19359</f>
        <v>19359</v>
      </c>
      <c r="V370" s="30">
        <f>3794842148</f>
        <v>3794842148</v>
      </c>
      <c r="W370" s="30">
        <f>20753764</f>
        <v>20753764</v>
      </c>
      <c r="X370" s="34">
        <f>19</f>
        <v>19</v>
      </c>
    </row>
    <row r="371" spans="1:24">
      <c r="A371" s="25" t="s">
        <v>1224</v>
      </c>
      <c r="B371" s="25" t="s">
        <v>851</v>
      </c>
      <c r="C371" s="25" t="s">
        <v>852</v>
      </c>
      <c r="D371" s="25" t="s">
        <v>853</v>
      </c>
      <c r="E371" s="26" t="s">
        <v>43</v>
      </c>
      <c r="F371" s="27" t="s">
        <v>43</v>
      </c>
      <c r="G371" s="28" t="s">
        <v>43</v>
      </c>
      <c r="H371" s="29"/>
      <c r="I371" s="29" t="s">
        <v>44</v>
      </c>
      <c r="J371" s="30">
        <v>1</v>
      </c>
      <c r="K371" s="31">
        <f>1000</f>
        <v>1000</v>
      </c>
      <c r="L371" s="32" t="s">
        <v>1116</v>
      </c>
      <c r="M371" s="31">
        <f>1032</f>
        <v>1032</v>
      </c>
      <c r="N371" s="32" t="s">
        <v>1111</v>
      </c>
      <c r="O371" s="31">
        <f>965</f>
        <v>965</v>
      </c>
      <c r="P371" s="32" t="s">
        <v>684</v>
      </c>
      <c r="Q371" s="31">
        <f>999</f>
        <v>999</v>
      </c>
      <c r="R371" s="32" t="s">
        <v>777</v>
      </c>
      <c r="S371" s="33">
        <f>993</f>
        <v>993</v>
      </c>
      <c r="T371" s="30">
        <f>715633</f>
        <v>715633</v>
      </c>
      <c r="U371" s="30">
        <f>33</f>
        <v>33</v>
      </c>
      <c r="V371" s="30">
        <f>711370104</f>
        <v>711370104</v>
      </c>
      <c r="W371" s="30">
        <f>32115</f>
        <v>32115</v>
      </c>
      <c r="X371" s="34">
        <f>19</f>
        <v>19</v>
      </c>
    </row>
    <row r="372" spans="1:24">
      <c r="A372" s="25" t="s">
        <v>1224</v>
      </c>
      <c r="B372" s="25" t="s">
        <v>858</v>
      </c>
      <c r="C372" s="25" t="s">
        <v>859</v>
      </c>
      <c r="D372" s="25" t="s">
        <v>860</v>
      </c>
      <c r="E372" s="26" t="s">
        <v>43</v>
      </c>
      <c r="F372" s="27" t="s">
        <v>43</v>
      </c>
      <c r="G372" s="28" t="s">
        <v>43</v>
      </c>
      <c r="H372" s="29"/>
      <c r="I372" s="29" t="s">
        <v>44</v>
      </c>
      <c r="J372" s="30">
        <v>1</v>
      </c>
      <c r="K372" s="31">
        <f>1035</f>
        <v>1035</v>
      </c>
      <c r="L372" s="32" t="s">
        <v>1116</v>
      </c>
      <c r="M372" s="31">
        <f>1084</f>
        <v>1084</v>
      </c>
      <c r="N372" s="32" t="s">
        <v>1111</v>
      </c>
      <c r="O372" s="31">
        <f>934</f>
        <v>934</v>
      </c>
      <c r="P372" s="32" t="s">
        <v>684</v>
      </c>
      <c r="Q372" s="31">
        <f>1069</f>
        <v>1069</v>
      </c>
      <c r="R372" s="32" t="s">
        <v>777</v>
      </c>
      <c r="S372" s="33">
        <f>1001.58</f>
        <v>1001.58</v>
      </c>
      <c r="T372" s="30">
        <f>35622</f>
        <v>35622</v>
      </c>
      <c r="U372" s="30">
        <f>24281</f>
        <v>24281</v>
      </c>
      <c r="V372" s="30">
        <f>37277109</f>
        <v>37277109</v>
      </c>
      <c r="W372" s="30">
        <f>25864291</f>
        <v>25864291</v>
      </c>
      <c r="X372" s="34">
        <f>19</f>
        <v>19</v>
      </c>
    </row>
    <row r="373" spans="1:24">
      <c r="A373" s="25" t="s">
        <v>1224</v>
      </c>
      <c r="B373" s="25" t="s">
        <v>861</v>
      </c>
      <c r="C373" s="25" t="s">
        <v>862</v>
      </c>
      <c r="D373" s="25" t="s">
        <v>863</v>
      </c>
      <c r="E373" s="26" t="s">
        <v>43</v>
      </c>
      <c r="F373" s="27" t="s">
        <v>43</v>
      </c>
      <c r="G373" s="28" t="s">
        <v>43</v>
      </c>
      <c r="H373" s="29"/>
      <c r="I373" s="29" t="s">
        <v>44</v>
      </c>
      <c r="J373" s="30">
        <v>1</v>
      </c>
      <c r="K373" s="31">
        <f>1048</f>
        <v>1048</v>
      </c>
      <c r="L373" s="32" t="s">
        <v>1116</v>
      </c>
      <c r="M373" s="31">
        <f>1053</f>
        <v>1053</v>
      </c>
      <c r="N373" s="32" t="s">
        <v>1145</v>
      </c>
      <c r="O373" s="31">
        <f>985</f>
        <v>985</v>
      </c>
      <c r="P373" s="32" t="s">
        <v>684</v>
      </c>
      <c r="Q373" s="31">
        <f>1017</f>
        <v>1017</v>
      </c>
      <c r="R373" s="32" t="s">
        <v>777</v>
      </c>
      <c r="S373" s="33">
        <f>1019.26</f>
        <v>1019.26</v>
      </c>
      <c r="T373" s="30">
        <f>455754</f>
        <v>455754</v>
      </c>
      <c r="U373" s="30">
        <f>20210</f>
        <v>20210</v>
      </c>
      <c r="V373" s="30">
        <f>463879690</f>
        <v>463879690</v>
      </c>
      <c r="W373" s="30">
        <f>20117095</f>
        <v>20117095</v>
      </c>
      <c r="X373" s="34">
        <f>19</f>
        <v>19</v>
      </c>
    </row>
    <row r="374" spans="1:24">
      <c r="A374" s="25" t="s">
        <v>1224</v>
      </c>
      <c r="B374" s="25" t="s">
        <v>864</v>
      </c>
      <c r="C374" s="25" t="s">
        <v>865</v>
      </c>
      <c r="D374" s="25" t="s">
        <v>950</v>
      </c>
      <c r="E374" s="26" t="s">
        <v>43</v>
      </c>
      <c r="F374" s="27" t="s">
        <v>43</v>
      </c>
      <c r="G374" s="28" t="s">
        <v>43</v>
      </c>
      <c r="H374" s="29"/>
      <c r="I374" s="29" t="s">
        <v>44</v>
      </c>
      <c r="J374" s="30">
        <v>1</v>
      </c>
      <c r="K374" s="31">
        <f>42330</f>
        <v>42330</v>
      </c>
      <c r="L374" s="32" t="s">
        <v>1116</v>
      </c>
      <c r="M374" s="31">
        <f>44730</f>
        <v>44730</v>
      </c>
      <c r="N374" s="32" t="s">
        <v>676</v>
      </c>
      <c r="O374" s="31">
        <f>37470</f>
        <v>37470</v>
      </c>
      <c r="P374" s="32" t="s">
        <v>876</v>
      </c>
      <c r="Q374" s="31">
        <f>43670</f>
        <v>43670</v>
      </c>
      <c r="R374" s="32" t="s">
        <v>777</v>
      </c>
      <c r="S374" s="33">
        <f>41511.05</f>
        <v>41511.050000000003</v>
      </c>
      <c r="T374" s="30">
        <f>267735</f>
        <v>267735</v>
      </c>
      <c r="U374" s="30">
        <f>153</f>
        <v>153</v>
      </c>
      <c r="V374" s="30">
        <f>11169222710</f>
        <v>11169222710</v>
      </c>
      <c r="W374" s="30">
        <f>6652800</f>
        <v>6652800</v>
      </c>
      <c r="X374" s="34">
        <f>19</f>
        <v>19</v>
      </c>
    </row>
    <row r="375" spans="1:24">
      <c r="A375" s="25" t="s">
        <v>1224</v>
      </c>
      <c r="B375" s="25" t="s">
        <v>866</v>
      </c>
      <c r="C375" s="25" t="s">
        <v>867</v>
      </c>
      <c r="D375" s="25" t="s">
        <v>951</v>
      </c>
      <c r="E375" s="26" t="s">
        <v>43</v>
      </c>
      <c r="F375" s="27" t="s">
        <v>43</v>
      </c>
      <c r="G375" s="28" t="s">
        <v>43</v>
      </c>
      <c r="H375" s="29"/>
      <c r="I375" s="29" t="s">
        <v>44</v>
      </c>
      <c r="J375" s="30">
        <v>1</v>
      </c>
      <c r="K375" s="31">
        <f>20480</f>
        <v>20480</v>
      </c>
      <c r="L375" s="32" t="s">
        <v>1116</v>
      </c>
      <c r="M375" s="31">
        <f>23485</f>
        <v>23485</v>
      </c>
      <c r="N375" s="32" t="s">
        <v>674</v>
      </c>
      <c r="O375" s="31">
        <f>19050</f>
        <v>19050</v>
      </c>
      <c r="P375" s="32" t="s">
        <v>676</v>
      </c>
      <c r="Q375" s="31">
        <f>19565</f>
        <v>19565</v>
      </c>
      <c r="R375" s="32" t="s">
        <v>777</v>
      </c>
      <c r="S375" s="33">
        <f>20926.58</f>
        <v>20926.580000000002</v>
      </c>
      <c r="T375" s="30">
        <f>261343</f>
        <v>261343</v>
      </c>
      <c r="U375" s="30" t="str">
        <f>"－"</f>
        <v>－</v>
      </c>
      <c r="V375" s="30">
        <f>5474409725</f>
        <v>5474409725</v>
      </c>
      <c r="W375" s="30" t="str">
        <f>"－"</f>
        <v>－</v>
      </c>
      <c r="X375" s="34">
        <f>19</f>
        <v>19</v>
      </c>
    </row>
  </sheetData>
  <mergeCells count="3">
    <mergeCell ref="N1:X3"/>
    <mergeCell ref="A2:M2"/>
    <mergeCell ref="A3:M3"/>
  </mergeCells>
  <phoneticPr fontId="3"/>
  <conditionalFormatting sqref="A2:M2">
    <cfRule type="duplicateValues" dxfId="0" priority="1"/>
  </conditionalFormatting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D4B5-1C67-4BE3-AFE0-5F30784C6AAC}">
  <sheetPr>
    <pageSetUpPr fitToPage="1"/>
  </sheetPr>
  <dimension ref="A1:X375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1201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2908.5</f>
        <v>2908.5</v>
      </c>
      <c r="L7" s="32" t="s">
        <v>1110</v>
      </c>
      <c r="M7" s="31">
        <f>2908.5</f>
        <v>2908.5</v>
      </c>
      <c r="N7" s="32" t="s">
        <v>1110</v>
      </c>
      <c r="O7" s="31">
        <f>2216.5</f>
        <v>2216.5</v>
      </c>
      <c r="P7" s="32" t="s">
        <v>674</v>
      </c>
      <c r="Q7" s="31">
        <f>2855</f>
        <v>2855</v>
      </c>
      <c r="R7" s="32" t="s">
        <v>777</v>
      </c>
      <c r="S7" s="33">
        <f>2724.93</f>
        <v>2724.93</v>
      </c>
      <c r="T7" s="30">
        <f>16310530</f>
        <v>16310530</v>
      </c>
      <c r="U7" s="30">
        <f>9301910</f>
        <v>9301910</v>
      </c>
      <c r="V7" s="30">
        <f>44877139571</f>
        <v>44877139571</v>
      </c>
      <c r="W7" s="30">
        <f>26141610036</f>
        <v>26141610036</v>
      </c>
      <c r="X7" s="34">
        <f>21</f>
        <v>21</v>
      </c>
    </row>
    <row r="8" spans="1:24">
      <c r="A8" s="25" t="s">
        <v>1201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2867</f>
        <v>2867</v>
      </c>
      <c r="L8" s="32" t="s">
        <v>1110</v>
      </c>
      <c r="M8" s="31">
        <f>2868.5</f>
        <v>2868.5</v>
      </c>
      <c r="N8" s="32" t="s">
        <v>1110</v>
      </c>
      <c r="O8" s="31">
        <f>2244</f>
        <v>2244</v>
      </c>
      <c r="P8" s="32" t="s">
        <v>674</v>
      </c>
      <c r="Q8" s="31">
        <f>2811</f>
        <v>2811</v>
      </c>
      <c r="R8" s="32" t="s">
        <v>777</v>
      </c>
      <c r="S8" s="33">
        <f>2694.62</f>
        <v>2694.62</v>
      </c>
      <c r="T8" s="30">
        <f>85800570</f>
        <v>85800570</v>
      </c>
      <c r="U8" s="30">
        <f>9998600</f>
        <v>9998600</v>
      </c>
      <c r="V8" s="30">
        <f>227331819849</f>
        <v>227331819849</v>
      </c>
      <c r="W8" s="30">
        <f>26467610264</f>
        <v>26467610264</v>
      </c>
      <c r="X8" s="34">
        <f>21</f>
        <v>21</v>
      </c>
    </row>
    <row r="9" spans="1:24">
      <c r="A9" s="25" t="s">
        <v>1201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2840</f>
        <v>2840</v>
      </c>
      <c r="L9" s="32" t="s">
        <v>1110</v>
      </c>
      <c r="M9" s="31">
        <f>2840</f>
        <v>2840</v>
      </c>
      <c r="N9" s="32" t="s">
        <v>1110</v>
      </c>
      <c r="O9" s="31">
        <f>2260</f>
        <v>2260</v>
      </c>
      <c r="P9" s="32" t="s">
        <v>674</v>
      </c>
      <c r="Q9" s="31">
        <f>2779</f>
        <v>2779</v>
      </c>
      <c r="R9" s="32" t="s">
        <v>777</v>
      </c>
      <c r="S9" s="33">
        <f>2664.38</f>
        <v>2664.38</v>
      </c>
      <c r="T9" s="30">
        <f>33585278</f>
        <v>33585278</v>
      </c>
      <c r="U9" s="30">
        <f>10211832</f>
        <v>10211832</v>
      </c>
      <c r="V9" s="30">
        <f>86772356933</f>
        <v>86772356933</v>
      </c>
      <c r="W9" s="30">
        <f>25739506071</f>
        <v>25739506071</v>
      </c>
      <c r="X9" s="34">
        <f>21</f>
        <v>21</v>
      </c>
    </row>
    <row r="10" spans="1:24">
      <c r="A10" s="25" t="s">
        <v>1201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39300</f>
        <v>39300</v>
      </c>
      <c r="L10" s="32" t="s">
        <v>1110</v>
      </c>
      <c r="M10" s="31">
        <f>39300</f>
        <v>39300</v>
      </c>
      <c r="N10" s="32" t="s">
        <v>1110</v>
      </c>
      <c r="O10" s="31">
        <f>36660</f>
        <v>36660</v>
      </c>
      <c r="P10" s="32" t="s">
        <v>1115</v>
      </c>
      <c r="Q10" s="31">
        <f>38320</f>
        <v>38320</v>
      </c>
      <c r="R10" s="32" t="s">
        <v>777</v>
      </c>
      <c r="S10" s="33">
        <f>37700.48</f>
        <v>37700.480000000003</v>
      </c>
      <c r="T10" s="30">
        <f>3414</f>
        <v>3414</v>
      </c>
      <c r="U10" s="30" t="str">
        <f>"－"</f>
        <v>－</v>
      </c>
      <c r="V10" s="30">
        <f>128857580</f>
        <v>128857580</v>
      </c>
      <c r="W10" s="30" t="str">
        <f>"－"</f>
        <v>－</v>
      </c>
      <c r="X10" s="34">
        <f>21</f>
        <v>21</v>
      </c>
    </row>
    <row r="11" spans="1:24">
      <c r="A11" s="25" t="s">
        <v>1201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1457</f>
        <v>1457</v>
      </c>
      <c r="L11" s="32" t="s">
        <v>1110</v>
      </c>
      <c r="M11" s="31">
        <f>1457</f>
        <v>1457</v>
      </c>
      <c r="N11" s="32" t="s">
        <v>1110</v>
      </c>
      <c r="O11" s="31">
        <f>1127</f>
        <v>1127</v>
      </c>
      <c r="P11" s="32" t="s">
        <v>674</v>
      </c>
      <c r="Q11" s="31">
        <f>1403.5</f>
        <v>1403.5</v>
      </c>
      <c r="R11" s="32" t="s">
        <v>777</v>
      </c>
      <c r="S11" s="33">
        <f>1349.83</f>
        <v>1349.83</v>
      </c>
      <c r="T11" s="30">
        <f>823980</f>
        <v>823980</v>
      </c>
      <c r="U11" s="30">
        <f>151330</f>
        <v>151330</v>
      </c>
      <c r="V11" s="30">
        <f>1093341872</f>
        <v>1093341872</v>
      </c>
      <c r="W11" s="30">
        <f>204553677</f>
        <v>204553677</v>
      </c>
      <c r="X11" s="34">
        <f>21</f>
        <v>21</v>
      </c>
    </row>
    <row r="12" spans="1:24">
      <c r="A12" s="25" t="s">
        <v>1201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471.1</f>
        <v>471.1</v>
      </c>
      <c r="L12" s="32" t="s">
        <v>1110</v>
      </c>
      <c r="M12" s="31">
        <f>484.5</f>
        <v>484.5</v>
      </c>
      <c r="N12" s="32" t="s">
        <v>760</v>
      </c>
      <c r="O12" s="31">
        <f>383</f>
        <v>383</v>
      </c>
      <c r="P12" s="32" t="s">
        <v>674</v>
      </c>
      <c r="Q12" s="31">
        <f>470.1</f>
        <v>470.1</v>
      </c>
      <c r="R12" s="32" t="s">
        <v>777</v>
      </c>
      <c r="S12" s="33">
        <f>453.6</f>
        <v>453.6</v>
      </c>
      <c r="T12" s="30">
        <f>185000</f>
        <v>185000</v>
      </c>
      <c r="U12" s="30" t="str">
        <f>"－"</f>
        <v>－</v>
      </c>
      <c r="V12" s="30">
        <f>81788800</f>
        <v>81788800</v>
      </c>
      <c r="W12" s="30" t="str">
        <f>"－"</f>
        <v>－</v>
      </c>
      <c r="X12" s="34">
        <f>20</f>
        <v>20</v>
      </c>
    </row>
    <row r="13" spans="1:24">
      <c r="A13" s="25" t="s">
        <v>1201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39810</f>
        <v>39810</v>
      </c>
      <c r="L13" s="32" t="s">
        <v>1110</v>
      </c>
      <c r="M13" s="31">
        <f>39810</f>
        <v>39810</v>
      </c>
      <c r="N13" s="32" t="s">
        <v>1110</v>
      </c>
      <c r="O13" s="31">
        <f>31510</f>
        <v>31510</v>
      </c>
      <c r="P13" s="32" t="s">
        <v>674</v>
      </c>
      <c r="Q13" s="31">
        <f>39640</f>
        <v>39640</v>
      </c>
      <c r="R13" s="32" t="s">
        <v>777</v>
      </c>
      <c r="S13" s="33">
        <f>37830.95</f>
        <v>37830.949999999997</v>
      </c>
      <c r="T13" s="30">
        <f>1882048</f>
        <v>1882048</v>
      </c>
      <c r="U13" s="30">
        <f>394441</f>
        <v>394441</v>
      </c>
      <c r="V13" s="30">
        <f>69279409789</f>
        <v>69279409789</v>
      </c>
      <c r="W13" s="30">
        <f>14609691129</f>
        <v>14609691129</v>
      </c>
      <c r="X13" s="34">
        <f>21</f>
        <v>21</v>
      </c>
    </row>
    <row r="14" spans="1:24">
      <c r="A14" s="25" t="s">
        <v>1201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39910</f>
        <v>39910</v>
      </c>
      <c r="L14" s="32" t="s">
        <v>1110</v>
      </c>
      <c r="M14" s="31">
        <f>39910</f>
        <v>39910</v>
      </c>
      <c r="N14" s="32" t="s">
        <v>1110</v>
      </c>
      <c r="O14" s="31">
        <f>31750</f>
        <v>31750</v>
      </c>
      <c r="P14" s="32" t="s">
        <v>674</v>
      </c>
      <c r="Q14" s="31">
        <f>39780</f>
        <v>39780</v>
      </c>
      <c r="R14" s="32" t="s">
        <v>777</v>
      </c>
      <c r="S14" s="33">
        <f>37984.29</f>
        <v>37984.29</v>
      </c>
      <c r="T14" s="30">
        <f>14043477</f>
        <v>14043477</v>
      </c>
      <c r="U14" s="30">
        <f>558478</f>
        <v>558478</v>
      </c>
      <c r="V14" s="30">
        <f>518018182662</f>
        <v>518018182662</v>
      </c>
      <c r="W14" s="30">
        <f>20616441072</f>
        <v>20616441072</v>
      </c>
      <c r="X14" s="34">
        <f>21</f>
        <v>21</v>
      </c>
    </row>
    <row r="15" spans="1:24">
      <c r="A15" s="25" t="s">
        <v>1201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7600</f>
        <v>7600</v>
      </c>
      <c r="L15" s="32" t="s">
        <v>1110</v>
      </c>
      <c r="M15" s="31">
        <f>7600</f>
        <v>7600</v>
      </c>
      <c r="N15" s="32" t="s">
        <v>1110</v>
      </c>
      <c r="O15" s="31">
        <f>6800</f>
        <v>6800</v>
      </c>
      <c r="P15" s="32" t="s">
        <v>777</v>
      </c>
      <c r="Q15" s="31">
        <f>7122</f>
        <v>7122</v>
      </c>
      <c r="R15" s="32" t="s">
        <v>777</v>
      </c>
      <c r="S15" s="33">
        <f>7113.05</f>
        <v>7113.05</v>
      </c>
      <c r="T15" s="30">
        <f>12600</f>
        <v>12600</v>
      </c>
      <c r="U15" s="30" t="str">
        <f>"－"</f>
        <v>－</v>
      </c>
      <c r="V15" s="30">
        <f>88985820</f>
        <v>88985820</v>
      </c>
      <c r="W15" s="30" t="str">
        <f>"－"</f>
        <v>－</v>
      </c>
      <c r="X15" s="34">
        <f>21</f>
        <v>21</v>
      </c>
    </row>
    <row r="16" spans="1:24">
      <c r="A16" s="25" t="s">
        <v>1201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 t="s">
        <v>240</v>
      </c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1201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210</f>
        <v>210</v>
      </c>
      <c r="L17" s="32" t="s">
        <v>1110</v>
      </c>
      <c r="M17" s="31">
        <f>218</f>
        <v>218</v>
      </c>
      <c r="N17" s="32" t="s">
        <v>1118</v>
      </c>
      <c r="O17" s="31">
        <f>180</f>
        <v>180</v>
      </c>
      <c r="P17" s="32" t="s">
        <v>674</v>
      </c>
      <c r="Q17" s="31">
        <f>214.9</f>
        <v>214.9</v>
      </c>
      <c r="R17" s="32" t="s">
        <v>777</v>
      </c>
      <c r="S17" s="33">
        <f>207.77</f>
        <v>207.77</v>
      </c>
      <c r="T17" s="30">
        <f>759200</f>
        <v>759200</v>
      </c>
      <c r="U17" s="30">
        <f>9100</f>
        <v>9100</v>
      </c>
      <c r="V17" s="30">
        <f>153705560</f>
        <v>153705560</v>
      </c>
      <c r="W17" s="30">
        <f>1788250</f>
        <v>1788250</v>
      </c>
      <c r="X17" s="34">
        <f>21</f>
        <v>21</v>
      </c>
    </row>
    <row r="18" spans="1:24">
      <c r="A18" s="25" t="s">
        <v>1201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34020</f>
        <v>34020</v>
      </c>
      <c r="L18" s="32" t="s">
        <v>1110</v>
      </c>
      <c r="M18" s="31">
        <f>34330</f>
        <v>34330</v>
      </c>
      <c r="N18" s="32" t="s">
        <v>680</v>
      </c>
      <c r="O18" s="31">
        <f>31830</f>
        <v>31830</v>
      </c>
      <c r="P18" s="32" t="s">
        <v>1115</v>
      </c>
      <c r="Q18" s="31">
        <f>33680</f>
        <v>33680</v>
      </c>
      <c r="R18" s="32" t="s">
        <v>777</v>
      </c>
      <c r="S18" s="33">
        <f>33384.29</f>
        <v>33384.29</v>
      </c>
      <c r="T18" s="30">
        <f>280515</f>
        <v>280515</v>
      </c>
      <c r="U18" s="30">
        <f>100</f>
        <v>100</v>
      </c>
      <c r="V18" s="30">
        <f>9260897270</f>
        <v>9260897270</v>
      </c>
      <c r="W18" s="30">
        <f>3228200</f>
        <v>3228200</v>
      </c>
      <c r="X18" s="34">
        <f>21</f>
        <v>21</v>
      </c>
    </row>
    <row r="19" spans="1:24">
      <c r="A19" s="25" t="s">
        <v>1201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9020</f>
        <v>9020</v>
      </c>
      <c r="L19" s="32" t="s">
        <v>1110</v>
      </c>
      <c r="M19" s="31">
        <f>9050</f>
        <v>9050</v>
      </c>
      <c r="N19" s="32" t="s">
        <v>680</v>
      </c>
      <c r="O19" s="31">
        <f>8400</f>
        <v>8400</v>
      </c>
      <c r="P19" s="32" t="s">
        <v>1115</v>
      </c>
      <c r="Q19" s="31">
        <f>8890</f>
        <v>8890</v>
      </c>
      <c r="R19" s="32" t="s">
        <v>777</v>
      </c>
      <c r="S19" s="33">
        <f>8814.24</f>
        <v>8814.24</v>
      </c>
      <c r="T19" s="30">
        <f>325380</f>
        <v>325380</v>
      </c>
      <c r="U19" s="30">
        <f>170</f>
        <v>170</v>
      </c>
      <c r="V19" s="30">
        <f>2839602520</f>
        <v>2839602520</v>
      </c>
      <c r="W19" s="30">
        <f>1471390</f>
        <v>1471390</v>
      </c>
      <c r="X19" s="34">
        <f>21</f>
        <v>21</v>
      </c>
    </row>
    <row r="20" spans="1:24">
      <c r="A20" s="25" t="s">
        <v>1201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40460</f>
        <v>40460</v>
      </c>
      <c r="L20" s="32" t="s">
        <v>1110</v>
      </c>
      <c r="M20" s="31">
        <f>40460</f>
        <v>40460</v>
      </c>
      <c r="N20" s="32" t="s">
        <v>1110</v>
      </c>
      <c r="O20" s="31">
        <f>31950</f>
        <v>31950</v>
      </c>
      <c r="P20" s="32" t="s">
        <v>674</v>
      </c>
      <c r="Q20" s="31">
        <f>39900</f>
        <v>39900</v>
      </c>
      <c r="R20" s="32" t="s">
        <v>777</v>
      </c>
      <c r="S20" s="33">
        <f>38129.52</f>
        <v>38129.519999999997</v>
      </c>
      <c r="T20" s="30">
        <f>2408525</f>
        <v>2408525</v>
      </c>
      <c r="U20" s="30">
        <f>578824</f>
        <v>578824</v>
      </c>
      <c r="V20" s="30">
        <f>90223247650</f>
        <v>90223247650</v>
      </c>
      <c r="W20" s="30">
        <f>22582109710</f>
        <v>22582109710</v>
      </c>
      <c r="X20" s="34">
        <f>21</f>
        <v>21</v>
      </c>
    </row>
    <row r="21" spans="1:24">
      <c r="A21" s="25" t="s">
        <v>1201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39970</f>
        <v>39970</v>
      </c>
      <c r="L21" s="32" t="s">
        <v>1110</v>
      </c>
      <c r="M21" s="31">
        <f>39970</f>
        <v>39970</v>
      </c>
      <c r="N21" s="32" t="s">
        <v>1110</v>
      </c>
      <c r="O21" s="31">
        <f>31510</f>
        <v>31510</v>
      </c>
      <c r="P21" s="32" t="s">
        <v>674</v>
      </c>
      <c r="Q21" s="31">
        <f>39810</f>
        <v>39810</v>
      </c>
      <c r="R21" s="32" t="s">
        <v>777</v>
      </c>
      <c r="S21" s="33">
        <f>38045.24</f>
        <v>38045.24</v>
      </c>
      <c r="T21" s="30">
        <f>1803379</f>
        <v>1803379</v>
      </c>
      <c r="U21" s="30">
        <f>217119</f>
        <v>217119</v>
      </c>
      <c r="V21" s="30">
        <f>67038914059</f>
        <v>67038914059</v>
      </c>
      <c r="W21" s="30">
        <f>8379371779</f>
        <v>8379371779</v>
      </c>
      <c r="X21" s="34">
        <f>21</f>
        <v>21</v>
      </c>
    </row>
    <row r="22" spans="1:24">
      <c r="A22" s="25" t="s">
        <v>1201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1023</f>
        <v>1023</v>
      </c>
      <c r="L22" s="32" t="s">
        <v>1110</v>
      </c>
      <c r="M22" s="31">
        <f>1024</f>
        <v>1024</v>
      </c>
      <c r="N22" s="32" t="s">
        <v>1110</v>
      </c>
      <c r="O22" s="31">
        <f>969</f>
        <v>969</v>
      </c>
      <c r="P22" s="32" t="s">
        <v>674</v>
      </c>
      <c r="Q22" s="31">
        <f>988</f>
        <v>988</v>
      </c>
      <c r="R22" s="32" t="s">
        <v>777</v>
      </c>
      <c r="S22" s="33">
        <f>995.52</f>
        <v>995.52</v>
      </c>
      <c r="T22" s="30">
        <f>7392589</f>
        <v>7392589</v>
      </c>
      <c r="U22" s="30">
        <f>5120500</f>
        <v>5120500</v>
      </c>
      <c r="V22" s="30">
        <f>7358540073</f>
        <v>7358540073</v>
      </c>
      <c r="W22" s="30">
        <f>5104229330</f>
        <v>5104229330</v>
      </c>
      <c r="X22" s="34">
        <f>21</f>
        <v>21</v>
      </c>
    </row>
    <row r="23" spans="1:24">
      <c r="A23" s="25" t="s">
        <v>1201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1866</f>
        <v>1866</v>
      </c>
      <c r="L23" s="32" t="s">
        <v>1110</v>
      </c>
      <c r="M23" s="31">
        <f>1931.5</f>
        <v>1931.5</v>
      </c>
      <c r="N23" s="32" t="s">
        <v>883</v>
      </c>
      <c r="O23" s="31">
        <f>1752</f>
        <v>1752</v>
      </c>
      <c r="P23" s="32" t="s">
        <v>674</v>
      </c>
      <c r="Q23" s="31">
        <f>1897</f>
        <v>1897</v>
      </c>
      <c r="R23" s="32" t="s">
        <v>777</v>
      </c>
      <c r="S23" s="33">
        <f>1860.24</f>
        <v>1860.24</v>
      </c>
      <c r="T23" s="30">
        <f>31641730</f>
        <v>31641730</v>
      </c>
      <c r="U23" s="30">
        <f>10828610</f>
        <v>10828610</v>
      </c>
      <c r="V23" s="30">
        <f>58151839642</f>
        <v>58151839642</v>
      </c>
      <c r="W23" s="30">
        <f>19873702977</f>
        <v>19873702977</v>
      </c>
      <c r="X23" s="34">
        <f>21</f>
        <v>21</v>
      </c>
    </row>
    <row r="24" spans="1:24">
      <c r="A24" s="25" t="s">
        <v>1201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1750.5</f>
        <v>1750.5</v>
      </c>
      <c r="L24" s="32" t="s">
        <v>1110</v>
      </c>
      <c r="M24" s="31">
        <f>1828</f>
        <v>1828</v>
      </c>
      <c r="N24" s="32" t="s">
        <v>883</v>
      </c>
      <c r="O24" s="31">
        <f>1641</f>
        <v>1641</v>
      </c>
      <c r="P24" s="32" t="s">
        <v>674</v>
      </c>
      <c r="Q24" s="31">
        <f>1793.5</f>
        <v>1793.5</v>
      </c>
      <c r="R24" s="32" t="s">
        <v>777</v>
      </c>
      <c r="S24" s="33">
        <f>1757.43</f>
        <v>1757.43</v>
      </c>
      <c r="T24" s="30">
        <f>2964300</f>
        <v>2964300</v>
      </c>
      <c r="U24" s="30">
        <f>1755600</f>
        <v>1755600</v>
      </c>
      <c r="V24" s="30">
        <f>5235515906</f>
        <v>5235515906</v>
      </c>
      <c r="W24" s="30">
        <f>3139070956</f>
        <v>3139070956</v>
      </c>
      <c r="X24" s="34">
        <f>21</f>
        <v>21</v>
      </c>
    </row>
    <row r="25" spans="1:24">
      <c r="A25" s="25" t="s">
        <v>1201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40000</f>
        <v>40000</v>
      </c>
      <c r="L25" s="32" t="s">
        <v>1110</v>
      </c>
      <c r="M25" s="31">
        <f>40000</f>
        <v>40000</v>
      </c>
      <c r="N25" s="32" t="s">
        <v>1110</v>
      </c>
      <c r="O25" s="31">
        <f>31510</f>
        <v>31510</v>
      </c>
      <c r="P25" s="32" t="s">
        <v>674</v>
      </c>
      <c r="Q25" s="31">
        <f>39860</f>
        <v>39860</v>
      </c>
      <c r="R25" s="32" t="s">
        <v>777</v>
      </c>
      <c r="S25" s="33">
        <f>37998.1</f>
        <v>37998.1</v>
      </c>
      <c r="T25" s="30">
        <f>1028226</f>
        <v>1028226</v>
      </c>
      <c r="U25" s="30">
        <f>98599</f>
        <v>98599</v>
      </c>
      <c r="V25" s="30">
        <f>38049117156</f>
        <v>38049117156</v>
      </c>
      <c r="W25" s="30">
        <f>3577628706</f>
        <v>3577628706</v>
      </c>
      <c r="X25" s="34">
        <f>21</f>
        <v>21</v>
      </c>
    </row>
    <row r="26" spans="1:24">
      <c r="A26" s="25" t="s">
        <v>1201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2867</f>
        <v>2867</v>
      </c>
      <c r="L26" s="32" t="s">
        <v>1110</v>
      </c>
      <c r="M26" s="31">
        <f>2867</f>
        <v>2867</v>
      </c>
      <c r="N26" s="32" t="s">
        <v>1110</v>
      </c>
      <c r="O26" s="31">
        <f>2230</f>
        <v>2230</v>
      </c>
      <c r="P26" s="32" t="s">
        <v>674</v>
      </c>
      <c r="Q26" s="31">
        <f>2794</f>
        <v>2794</v>
      </c>
      <c r="R26" s="32" t="s">
        <v>777</v>
      </c>
      <c r="S26" s="33">
        <f>2685.9</f>
        <v>2685.9</v>
      </c>
      <c r="T26" s="30">
        <f>8632030</f>
        <v>8632030</v>
      </c>
      <c r="U26" s="30">
        <f>4099540</f>
        <v>4099540</v>
      </c>
      <c r="V26" s="30">
        <f>22980367020</f>
        <v>22980367020</v>
      </c>
      <c r="W26" s="30">
        <f>11021285795</f>
        <v>11021285795</v>
      </c>
      <c r="X26" s="34">
        <f>21</f>
        <v>21</v>
      </c>
    </row>
    <row r="27" spans="1:24">
      <c r="A27" s="25" t="s">
        <v>1201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16060</f>
        <v>16060</v>
      </c>
      <c r="L27" s="32" t="s">
        <v>1110</v>
      </c>
      <c r="M27" s="31">
        <f>16250</f>
        <v>16250</v>
      </c>
      <c r="N27" s="32" t="s">
        <v>760</v>
      </c>
      <c r="O27" s="31">
        <f>15530</f>
        <v>15530</v>
      </c>
      <c r="P27" s="32" t="s">
        <v>674</v>
      </c>
      <c r="Q27" s="31">
        <f>16085</f>
        <v>16085</v>
      </c>
      <c r="R27" s="32" t="s">
        <v>777</v>
      </c>
      <c r="S27" s="33">
        <f>16008.1</f>
        <v>16008.1</v>
      </c>
      <c r="T27" s="30">
        <f>805</f>
        <v>805</v>
      </c>
      <c r="U27" s="30" t="str">
        <f>"－"</f>
        <v>－</v>
      </c>
      <c r="V27" s="30">
        <f>12825885</f>
        <v>12825885</v>
      </c>
      <c r="W27" s="30" t="str">
        <f>"－"</f>
        <v>－</v>
      </c>
      <c r="X27" s="34">
        <f>21</f>
        <v>21</v>
      </c>
    </row>
    <row r="28" spans="1:24">
      <c r="A28" s="25" t="s">
        <v>1201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359.8</f>
        <v>359.8</v>
      </c>
      <c r="L28" s="32" t="s">
        <v>1110</v>
      </c>
      <c r="M28" s="31">
        <f>514</f>
        <v>514</v>
      </c>
      <c r="N28" s="32" t="s">
        <v>674</v>
      </c>
      <c r="O28" s="31">
        <f>340.8</f>
        <v>340.8</v>
      </c>
      <c r="P28" s="32" t="s">
        <v>777</v>
      </c>
      <c r="Q28" s="31">
        <f>341.7</f>
        <v>341.7</v>
      </c>
      <c r="R28" s="32" t="s">
        <v>777</v>
      </c>
      <c r="S28" s="33">
        <f>381.51</f>
        <v>381.51</v>
      </c>
      <c r="T28" s="30">
        <f>65565610</f>
        <v>65565610</v>
      </c>
      <c r="U28" s="30">
        <f>23230</f>
        <v>23230</v>
      </c>
      <c r="V28" s="30">
        <f>26012229699</f>
        <v>26012229699</v>
      </c>
      <c r="W28" s="30">
        <f>9275975</f>
        <v>9275975</v>
      </c>
      <c r="X28" s="34">
        <f>21</f>
        <v>21</v>
      </c>
    </row>
    <row r="29" spans="1:24">
      <c r="A29" s="25" t="s">
        <v>1201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144</f>
        <v>144</v>
      </c>
      <c r="L29" s="32" t="s">
        <v>1110</v>
      </c>
      <c r="M29" s="31">
        <f>215</f>
        <v>215</v>
      </c>
      <c r="N29" s="32" t="s">
        <v>674</v>
      </c>
      <c r="O29" s="31">
        <f>129</f>
        <v>129</v>
      </c>
      <c r="P29" s="32" t="s">
        <v>777</v>
      </c>
      <c r="Q29" s="31">
        <f>130</f>
        <v>130</v>
      </c>
      <c r="R29" s="32" t="s">
        <v>777</v>
      </c>
      <c r="S29" s="33">
        <f>146.86</f>
        <v>146.86000000000001</v>
      </c>
      <c r="T29" s="30">
        <f>2127466323</f>
        <v>2127466323</v>
      </c>
      <c r="U29" s="30">
        <f>48651861</f>
        <v>48651861</v>
      </c>
      <c r="V29" s="30">
        <f>339268195608</f>
        <v>339268195608</v>
      </c>
      <c r="W29" s="30">
        <f>7659583390</f>
        <v>7659583390</v>
      </c>
      <c r="X29" s="34">
        <f>21</f>
        <v>21</v>
      </c>
    </row>
    <row r="30" spans="1:24">
      <c r="A30" s="25" t="s">
        <v>1201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51750</f>
        <v>51750</v>
      </c>
      <c r="L30" s="32" t="s">
        <v>1110</v>
      </c>
      <c r="M30" s="31">
        <f>51760</f>
        <v>51760</v>
      </c>
      <c r="N30" s="32" t="s">
        <v>1110</v>
      </c>
      <c r="O30" s="31">
        <f>37400</f>
        <v>37400</v>
      </c>
      <c r="P30" s="32" t="s">
        <v>674</v>
      </c>
      <c r="Q30" s="31">
        <f>49640</f>
        <v>49640</v>
      </c>
      <c r="R30" s="32" t="s">
        <v>777</v>
      </c>
      <c r="S30" s="33">
        <f>45757.14</f>
        <v>45757.14</v>
      </c>
      <c r="T30" s="30">
        <f>545793</f>
        <v>545793</v>
      </c>
      <c r="U30" s="30">
        <f>12</f>
        <v>12</v>
      </c>
      <c r="V30" s="30">
        <f>24252211580</f>
        <v>24252211580</v>
      </c>
      <c r="W30" s="30">
        <f>518390</f>
        <v>518390</v>
      </c>
      <c r="X30" s="34">
        <f>21</f>
        <v>21</v>
      </c>
    </row>
    <row r="31" spans="1:24">
      <c r="A31" s="25" t="s">
        <v>1201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351.3</f>
        <v>351.3</v>
      </c>
      <c r="L31" s="32" t="s">
        <v>1110</v>
      </c>
      <c r="M31" s="31">
        <f>484</f>
        <v>484</v>
      </c>
      <c r="N31" s="32" t="s">
        <v>674</v>
      </c>
      <c r="O31" s="31">
        <f>318.6</f>
        <v>318.60000000000002</v>
      </c>
      <c r="P31" s="32" t="s">
        <v>777</v>
      </c>
      <c r="Q31" s="31">
        <f>319</f>
        <v>319</v>
      </c>
      <c r="R31" s="32" t="s">
        <v>777</v>
      </c>
      <c r="S31" s="33">
        <f>358.37</f>
        <v>358.37</v>
      </c>
      <c r="T31" s="30">
        <f>962603070</f>
        <v>962603070</v>
      </c>
      <c r="U31" s="30">
        <f>12769450</f>
        <v>12769450</v>
      </c>
      <c r="V31" s="30">
        <f>354207225698</f>
        <v>354207225698</v>
      </c>
      <c r="W31" s="30">
        <f>4673441776</f>
        <v>4673441776</v>
      </c>
      <c r="X31" s="34">
        <f>21</f>
        <v>21</v>
      </c>
    </row>
    <row r="32" spans="1:24">
      <c r="A32" s="25" t="s">
        <v>1201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26485</f>
        <v>26485</v>
      </c>
      <c r="L32" s="32" t="s">
        <v>1110</v>
      </c>
      <c r="M32" s="31">
        <f>26485</f>
        <v>26485</v>
      </c>
      <c r="N32" s="32" t="s">
        <v>1110</v>
      </c>
      <c r="O32" s="31">
        <f>21500</f>
        <v>21500</v>
      </c>
      <c r="P32" s="32" t="s">
        <v>674</v>
      </c>
      <c r="Q32" s="31">
        <f>25305</f>
        <v>25305</v>
      </c>
      <c r="R32" s="32" t="s">
        <v>777</v>
      </c>
      <c r="S32" s="33">
        <f>24512.38</f>
        <v>24512.38</v>
      </c>
      <c r="T32" s="30">
        <f>31583</f>
        <v>31583</v>
      </c>
      <c r="U32" s="30">
        <f>1</f>
        <v>1</v>
      </c>
      <c r="V32" s="30">
        <f>763614960</f>
        <v>763614960</v>
      </c>
      <c r="W32" s="30">
        <f>23660</f>
        <v>23660</v>
      </c>
      <c r="X32" s="34">
        <f>21</f>
        <v>21</v>
      </c>
    </row>
    <row r="33" spans="1:24">
      <c r="A33" s="25" t="s">
        <v>1201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42740</f>
        <v>42740</v>
      </c>
      <c r="L33" s="32" t="s">
        <v>1110</v>
      </c>
      <c r="M33" s="31">
        <f>42810</f>
        <v>42810</v>
      </c>
      <c r="N33" s="32" t="s">
        <v>1110</v>
      </c>
      <c r="O33" s="31">
        <f>29850</f>
        <v>29850</v>
      </c>
      <c r="P33" s="32" t="s">
        <v>674</v>
      </c>
      <c r="Q33" s="31">
        <f>40860</f>
        <v>40860</v>
      </c>
      <c r="R33" s="32" t="s">
        <v>777</v>
      </c>
      <c r="S33" s="33">
        <f>37633.81</f>
        <v>37633.81</v>
      </c>
      <c r="T33" s="30">
        <f>1995769</f>
        <v>1995769</v>
      </c>
      <c r="U33" s="30">
        <f>25168</f>
        <v>25168</v>
      </c>
      <c r="V33" s="30">
        <f>71838036407</f>
        <v>71838036407</v>
      </c>
      <c r="W33" s="30">
        <f>933754387</f>
        <v>933754387</v>
      </c>
      <c r="X33" s="34">
        <f>21</f>
        <v>21</v>
      </c>
    </row>
    <row r="34" spans="1:24">
      <c r="A34" s="25" t="s">
        <v>1201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373</f>
        <v>373</v>
      </c>
      <c r="L34" s="32" t="s">
        <v>1110</v>
      </c>
      <c r="M34" s="31">
        <f>509</f>
        <v>509</v>
      </c>
      <c r="N34" s="32" t="s">
        <v>674</v>
      </c>
      <c r="O34" s="31">
        <f>327</f>
        <v>327</v>
      </c>
      <c r="P34" s="32" t="s">
        <v>777</v>
      </c>
      <c r="Q34" s="31">
        <f>328</f>
        <v>328</v>
      </c>
      <c r="R34" s="32" t="s">
        <v>777</v>
      </c>
      <c r="S34" s="33">
        <f>370.52</f>
        <v>370.52</v>
      </c>
      <c r="T34" s="30">
        <f>95791310</f>
        <v>95791310</v>
      </c>
      <c r="U34" s="30">
        <f>1476969</f>
        <v>1476969</v>
      </c>
      <c r="V34" s="30">
        <f>38289623042</f>
        <v>38289623042</v>
      </c>
      <c r="W34" s="30">
        <f>551547328</f>
        <v>551547328</v>
      </c>
      <c r="X34" s="34">
        <f>21</f>
        <v>21</v>
      </c>
    </row>
    <row r="35" spans="1:24">
      <c r="A35" s="25" t="s">
        <v>1201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38190</f>
        <v>38190</v>
      </c>
      <c r="L35" s="32" t="s">
        <v>1110</v>
      </c>
      <c r="M35" s="31">
        <f>38190</f>
        <v>38190</v>
      </c>
      <c r="N35" s="32" t="s">
        <v>1110</v>
      </c>
      <c r="O35" s="31">
        <f>25290</f>
        <v>25290</v>
      </c>
      <c r="P35" s="32" t="s">
        <v>674</v>
      </c>
      <c r="Q35" s="31">
        <f>35260</f>
        <v>35260</v>
      </c>
      <c r="R35" s="32" t="s">
        <v>777</v>
      </c>
      <c r="S35" s="33">
        <f>32712.86</f>
        <v>32712.86</v>
      </c>
      <c r="T35" s="30">
        <f>361808</f>
        <v>361808</v>
      </c>
      <c r="U35" s="30">
        <f>4071</f>
        <v>4071</v>
      </c>
      <c r="V35" s="30">
        <f>11181594355</f>
        <v>11181594355</v>
      </c>
      <c r="W35" s="30">
        <f>136014390</f>
        <v>136014390</v>
      </c>
      <c r="X35" s="34">
        <f>21</f>
        <v>21</v>
      </c>
    </row>
    <row r="36" spans="1:24">
      <c r="A36" s="25" t="s">
        <v>1201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543</f>
        <v>543</v>
      </c>
      <c r="L36" s="32" t="s">
        <v>1110</v>
      </c>
      <c r="M36" s="31">
        <f>728</f>
        <v>728</v>
      </c>
      <c r="N36" s="32" t="s">
        <v>674</v>
      </c>
      <c r="O36" s="31">
        <f>492</f>
        <v>492</v>
      </c>
      <c r="P36" s="32" t="s">
        <v>777</v>
      </c>
      <c r="Q36" s="31">
        <f>494</f>
        <v>494</v>
      </c>
      <c r="R36" s="32" t="s">
        <v>777</v>
      </c>
      <c r="S36" s="33">
        <f>550.86</f>
        <v>550.86</v>
      </c>
      <c r="T36" s="30">
        <f>7516686</f>
        <v>7516686</v>
      </c>
      <c r="U36" s="30">
        <f>16359</f>
        <v>16359</v>
      </c>
      <c r="V36" s="30">
        <f>4503464446</f>
        <v>4503464446</v>
      </c>
      <c r="W36" s="30">
        <f>10201730</f>
        <v>10201730</v>
      </c>
      <c r="X36" s="34">
        <f>21</f>
        <v>21</v>
      </c>
    </row>
    <row r="37" spans="1:24">
      <c r="A37" s="25" t="s">
        <v>1201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38810</f>
        <v>38810</v>
      </c>
      <c r="L37" s="32" t="s">
        <v>1110</v>
      </c>
      <c r="M37" s="31">
        <f>38810</f>
        <v>38810</v>
      </c>
      <c r="N37" s="32" t="s">
        <v>1110</v>
      </c>
      <c r="O37" s="31">
        <f>31680</f>
        <v>31680</v>
      </c>
      <c r="P37" s="32" t="s">
        <v>674</v>
      </c>
      <c r="Q37" s="31">
        <f>38720</f>
        <v>38720</v>
      </c>
      <c r="R37" s="32" t="s">
        <v>777</v>
      </c>
      <c r="S37" s="33">
        <f>37098.57</f>
        <v>37098.57</v>
      </c>
      <c r="T37" s="30">
        <f>365772</f>
        <v>365772</v>
      </c>
      <c r="U37" s="30">
        <f>147428</f>
        <v>147428</v>
      </c>
      <c r="V37" s="30">
        <f>13479452100</f>
        <v>13479452100</v>
      </c>
      <c r="W37" s="30">
        <f>5427210450</f>
        <v>5427210450</v>
      </c>
      <c r="X37" s="34">
        <f>21</f>
        <v>21</v>
      </c>
    </row>
    <row r="38" spans="1:24">
      <c r="A38" s="25" t="s">
        <v>1201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39230</f>
        <v>39230</v>
      </c>
      <c r="L38" s="32" t="s">
        <v>1110</v>
      </c>
      <c r="M38" s="31">
        <f>39230</f>
        <v>39230</v>
      </c>
      <c r="N38" s="32" t="s">
        <v>1110</v>
      </c>
      <c r="O38" s="31">
        <f>32900</f>
        <v>32900</v>
      </c>
      <c r="P38" s="32" t="s">
        <v>674</v>
      </c>
      <c r="Q38" s="31">
        <f>39080</f>
        <v>39080</v>
      </c>
      <c r="R38" s="32" t="s">
        <v>777</v>
      </c>
      <c r="S38" s="33">
        <f>37330</f>
        <v>37330</v>
      </c>
      <c r="T38" s="30">
        <f>239744</f>
        <v>239744</v>
      </c>
      <c r="U38" s="30">
        <f>81964</f>
        <v>81964</v>
      </c>
      <c r="V38" s="30">
        <f>8737921350</f>
        <v>8737921350</v>
      </c>
      <c r="W38" s="30">
        <f>3044414580</f>
        <v>3044414580</v>
      </c>
      <c r="X38" s="34">
        <f>21</f>
        <v>21</v>
      </c>
    </row>
    <row r="39" spans="1:24">
      <c r="A39" s="25" t="s">
        <v>1201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1760</f>
        <v>1760</v>
      </c>
      <c r="L39" s="32" t="s">
        <v>1110</v>
      </c>
      <c r="M39" s="31">
        <f>1852</f>
        <v>1852</v>
      </c>
      <c r="N39" s="32" t="s">
        <v>1114</v>
      </c>
      <c r="O39" s="31">
        <f>1679</f>
        <v>1679</v>
      </c>
      <c r="P39" s="32" t="s">
        <v>674</v>
      </c>
      <c r="Q39" s="31">
        <f>1821</f>
        <v>1821</v>
      </c>
      <c r="R39" s="32" t="s">
        <v>777</v>
      </c>
      <c r="S39" s="33">
        <f>1785.48</f>
        <v>1785.48</v>
      </c>
      <c r="T39" s="30">
        <f>2444900</f>
        <v>2444900</v>
      </c>
      <c r="U39" s="30">
        <f>1805300</f>
        <v>1805300</v>
      </c>
      <c r="V39" s="30">
        <f>4382275540</f>
        <v>4382275540</v>
      </c>
      <c r="W39" s="30">
        <f>3253542380</f>
        <v>3253542380</v>
      </c>
      <c r="X39" s="34">
        <f>21</f>
        <v>21</v>
      </c>
    </row>
    <row r="40" spans="1:24">
      <c r="A40" s="25" t="s">
        <v>1201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2257.5</f>
        <v>2257.5</v>
      </c>
      <c r="L40" s="32" t="s">
        <v>1110</v>
      </c>
      <c r="M40" s="31">
        <f>2262</f>
        <v>2262</v>
      </c>
      <c r="N40" s="32" t="s">
        <v>883</v>
      </c>
      <c r="O40" s="31">
        <f>1950</f>
        <v>1950</v>
      </c>
      <c r="P40" s="32" t="s">
        <v>674</v>
      </c>
      <c r="Q40" s="31">
        <f>2227.5</f>
        <v>2227.5</v>
      </c>
      <c r="R40" s="32" t="s">
        <v>777</v>
      </c>
      <c r="S40" s="33">
        <f>2142.64</f>
        <v>2142.64</v>
      </c>
      <c r="T40" s="30">
        <f>32660</f>
        <v>32660</v>
      </c>
      <c r="U40" s="30">
        <f>24020</f>
        <v>24020</v>
      </c>
      <c r="V40" s="30">
        <f>68068405</f>
        <v>68068405</v>
      </c>
      <c r="W40" s="30">
        <f>49934930</f>
        <v>49934930</v>
      </c>
      <c r="X40" s="34">
        <f>21</f>
        <v>21</v>
      </c>
    </row>
    <row r="41" spans="1:24">
      <c r="A41" s="25" t="s">
        <v>1201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1963</f>
        <v>1963</v>
      </c>
      <c r="L41" s="32" t="s">
        <v>1110</v>
      </c>
      <c r="M41" s="31">
        <f>1963</f>
        <v>1963</v>
      </c>
      <c r="N41" s="32" t="s">
        <v>1110</v>
      </c>
      <c r="O41" s="31">
        <f>1918</f>
        <v>1918</v>
      </c>
      <c r="P41" s="32" t="s">
        <v>674</v>
      </c>
      <c r="Q41" s="31">
        <f>1939</f>
        <v>1939</v>
      </c>
      <c r="R41" s="32" t="s">
        <v>777</v>
      </c>
      <c r="S41" s="33">
        <f>1939.52</f>
        <v>1939.52</v>
      </c>
      <c r="T41" s="30">
        <f>62710</f>
        <v>62710</v>
      </c>
      <c r="U41" s="30" t="str">
        <f>"－"</f>
        <v>－</v>
      </c>
      <c r="V41" s="30">
        <f>121929636</f>
        <v>121929636</v>
      </c>
      <c r="W41" s="30" t="str">
        <f>"－"</f>
        <v>－</v>
      </c>
      <c r="X41" s="34">
        <f>21</f>
        <v>21</v>
      </c>
    </row>
    <row r="42" spans="1:24">
      <c r="A42" s="25" t="s">
        <v>1201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2657</f>
        <v>2657</v>
      </c>
      <c r="L42" s="32" t="s">
        <v>1110</v>
      </c>
      <c r="M42" s="31">
        <f>3295</f>
        <v>3295</v>
      </c>
      <c r="N42" s="32" t="s">
        <v>674</v>
      </c>
      <c r="O42" s="31">
        <f>2557</f>
        <v>2557</v>
      </c>
      <c r="P42" s="32" t="s">
        <v>777</v>
      </c>
      <c r="Q42" s="31">
        <f>2558</f>
        <v>2558</v>
      </c>
      <c r="R42" s="32" t="s">
        <v>777</v>
      </c>
      <c r="S42" s="33">
        <f>2709</f>
        <v>2709</v>
      </c>
      <c r="T42" s="30">
        <f>10414903</f>
        <v>10414903</v>
      </c>
      <c r="U42" s="30">
        <f>1378871</f>
        <v>1378871</v>
      </c>
      <c r="V42" s="30">
        <f>29970010605</f>
        <v>29970010605</v>
      </c>
      <c r="W42" s="30">
        <f>4085679483</f>
        <v>4085679483</v>
      </c>
      <c r="X42" s="34">
        <f>21</f>
        <v>21</v>
      </c>
    </row>
    <row r="43" spans="1:24">
      <c r="A43" s="25" t="s">
        <v>1201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3105</f>
        <v>3105</v>
      </c>
      <c r="L43" s="32" t="s">
        <v>1110</v>
      </c>
      <c r="M43" s="31">
        <f>4080</f>
        <v>4080</v>
      </c>
      <c r="N43" s="32" t="s">
        <v>674</v>
      </c>
      <c r="O43" s="31">
        <f>3030</f>
        <v>3030</v>
      </c>
      <c r="P43" s="32" t="s">
        <v>777</v>
      </c>
      <c r="Q43" s="31">
        <f>3045</f>
        <v>3045</v>
      </c>
      <c r="R43" s="32" t="s">
        <v>777</v>
      </c>
      <c r="S43" s="33">
        <f>3207.14</f>
        <v>3207.14</v>
      </c>
      <c r="T43" s="30">
        <f>1678173</f>
        <v>1678173</v>
      </c>
      <c r="U43" s="30">
        <f>762609</f>
        <v>762609</v>
      </c>
      <c r="V43" s="30">
        <f>5804817485</f>
        <v>5804817485</v>
      </c>
      <c r="W43" s="30">
        <f>2654316480</f>
        <v>2654316480</v>
      </c>
      <c r="X43" s="34">
        <f>21</f>
        <v>21</v>
      </c>
    </row>
    <row r="44" spans="1:24">
      <c r="A44" s="25" t="s">
        <v>1201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32940</f>
        <v>32940</v>
      </c>
      <c r="L44" s="32" t="s">
        <v>1110</v>
      </c>
      <c r="M44" s="31">
        <f>32950</f>
        <v>32950</v>
      </c>
      <c r="N44" s="32" t="s">
        <v>1110</v>
      </c>
      <c r="O44" s="31">
        <f>23190</f>
        <v>23190</v>
      </c>
      <c r="P44" s="32" t="s">
        <v>674</v>
      </c>
      <c r="Q44" s="31">
        <f>31430</f>
        <v>31430</v>
      </c>
      <c r="R44" s="32" t="s">
        <v>777</v>
      </c>
      <c r="S44" s="33">
        <f>28891.9</f>
        <v>28891.9</v>
      </c>
      <c r="T44" s="30">
        <f>11466325</f>
        <v>11466325</v>
      </c>
      <c r="U44" s="30">
        <f>126161</f>
        <v>126161</v>
      </c>
      <c r="V44" s="30">
        <f>323913146671</f>
        <v>323913146671</v>
      </c>
      <c r="W44" s="30">
        <f>3666410951</f>
        <v>3666410951</v>
      </c>
      <c r="X44" s="34">
        <f>21</f>
        <v>21</v>
      </c>
    </row>
    <row r="45" spans="1:24">
      <c r="A45" s="25" t="s">
        <v>1201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579</f>
        <v>579</v>
      </c>
      <c r="L45" s="32" t="s">
        <v>1110</v>
      </c>
      <c r="M45" s="31">
        <f>767</f>
        <v>767</v>
      </c>
      <c r="N45" s="32" t="s">
        <v>674</v>
      </c>
      <c r="O45" s="31">
        <f>522</f>
        <v>522</v>
      </c>
      <c r="P45" s="32" t="s">
        <v>777</v>
      </c>
      <c r="Q45" s="31">
        <f>524</f>
        <v>524</v>
      </c>
      <c r="R45" s="32" t="s">
        <v>777</v>
      </c>
      <c r="S45" s="33">
        <f>587.52</f>
        <v>587.52</v>
      </c>
      <c r="T45" s="30">
        <f>409724775</f>
        <v>409724775</v>
      </c>
      <c r="U45" s="30">
        <f>3729981</f>
        <v>3729981</v>
      </c>
      <c r="V45" s="30">
        <f>249108599448</f>
        <v>249108599448</v>
      </c>
      <c r="W45" s="30">
        <f>2239155544</f>
        <v>2239155544</v>
      </c>
      <c r="X45" s="34">
        <f>21</f>
        <v>21</v>
      </c>
    </row>
    <row r="46" spans="1:24">
      <c r="A46" s="25" t="s">
        <v>1201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31300</f>
        <v>31300</v>
      </c>
      <c r="L46" s="32" t="s">
        <v>1110</v>
      </c>
      <c r="M46" s="31">
        <f>31380</f>
        <v>31380</v>
      </c>
      <c r="N46" s="32" t="s">
        <v>1110</v>
      </c>
      <c r="O46" s="31">
        <f>22500</f>
        <v>22500</v>
      </c>
      <c r="P46" s="32" t="s">
        <v>674</v>
      </c>
      <c r="Q46" s="31">
        <f>29290</f>
        <v>29290</v>
      </c>
      <c r="R46" s="32" t="s">
        <v>777</v>
      </c>
      <c r="S46" s="33">
        <f>27195</f>
        <v>27195</v>
      </c>
      <c r="T46" s="30">
        <f>10363</f>
        <v>10363</v>
      </c>
      <c r="U46" s="30" t="str">
        <f>"－"</f>
        <v>－</v>
      </c>
      <c r="V46" s="30">
        <f>283295095</f>
        <v>283295095</v>
      </c>
      <c r="W46" s="30" t="str">
        <f>"－"</f>
        <v>－</v>
      </c>
      <c r="X46" s="34">
        <f>21</f>
        <v>21</v>
      </c>
    </row>
    <row r="47" spans="1:24">
      <c r="A47" s="25" t="s">
        <v>1201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2956</f>
        <v>2956</v>
      </c>
      <c r="L47" s="32" t="s">
        <v>1110</v>
      </c>
      <c r="M47" s="31">
        <f>3730</f>
        <v>3730</v>
      </c>
      <c r="N47" s="32" t="s">
        <v>674</v>
      </c>
      <c r="O47" s="31">
        <f>2725</f>
        <v>2725</v>
      </c>
      <c r="P47" s="32" t="s">
        <v>760</v>
      </c>
      <c r="Q47" s="31">
        <f>2912</f>
        <v>2912</v>
      </c>
      <c r="R47" s="32" t="s">
        <v>777</v>
      </c>
      <c r="S47" s="33">
        <f>2950.76</f>
        <v>2950.76</v>
      </c>
      <c r="T47" s="30">
        <f>121975</f>
        <v>121975</v>
      </c>
      <c r="U47" s="30" t="str">
        <f>"－"</f>
        <v>－</v>
      </c>
      <c r="V47" s="30">
        <f>413467825</f>
        <v>413467825</v>
      </c>
      <c r="W47" s="30" t="str">
        <f>"－"</f>
        <v>－</v>
      </c>
      <c r="X47" s="34">
        <f>21</f>
        <v>21</v>
      </c>
    </row>
    <row r="48" spans="1:24">
      <c r="A48" s="25" t="s">
        <v>1201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664</f>
        <v>664</v>
      </c>
      <c r="L48" s="32" t="s">
        <v>1110</v>
      </c>
      <c r="M48" s="31">
        <f>927</f>
        <v>927</v>
      </c>
      <c r="N48" s="32" t="s">
        <v>674</v>
      </c>
      <c r="O48" s="31">
        <f>607</f>
        <v>607</v>
      </c>
      <c r="P48" s="32" t="s">
        <v>760</v>
      </c>
      <c r="Q48" s="31">
        <f>617</f>
        <v>617</v>
      </c>
      <c r="R48" s="32" t="s">
        <v>777</v>
      </c>
      <c r="S48" s="33">
        <f>690.71</f>
        <v>690.71</v>
      </c>
      <c r="T48" s="30">
        <f>188537</f>
        <v>188537</v>
      </c>
      <c r="U48" s="30" t="str">
        <f>"－"</f>
        <v>－</v>
      </c>
      <c r="V48" s="30">
        <f>150063753</f>
        <v>150063753</v>
      </c>
      <c r="W48" s="30" t="str">
        <f>"－"</f>
        <v>－</v>
      </c>
      <c r="X48" s="34">
        <f>21</f>
        <v>21</v>
      </c>
    </row>
    <row r="49" spans="1:24">
      <c r="A49" s="25" t="s">
        <v>1201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649</f>
        <v>649</v>
      </c>
      <c r="L49" s="32" t="s">
        <v>1110</v>
      </c>
      <c r="M49" s="31">
        <f>913.6</f>
        <v>913.6</v>
      </c>
      <c r="N49" s="32" t="s">
        <v>674</v>
      </c>
      <c r="O49" s="31">
        <f>612</f>
        <v>612</v>
      </c>
      <c r="P49" s="32" t="s">
        <v>777</v>
      </c>
      <c r="Q49" s="31">
        <f>613.3</f>
        <v>613.29999999999995</v>
      </c>
      <c r="R49" s="32" t="s">
        <v>777</v>
      </c>
      <c r="S49" s="33">
        <f>682.81</f>
        <v>682.81</v>
      </c>
      <c r="T49" s="30">
        <f>734020</f>
        <v>734020</v>
      </c>
      <c r="U49" s="30">
        <f>100</f>
        <v>100</v>
      </c>
      <c r="V49" s="30">
        <f>568911996</f>
        <v>568911996</v>
      </c>
      <c r="W49" s="30">
        <f>74000</f>
        <v>74000</v>
      </c>
      <c r="X49" s="34">
        <f>21</f>
        <v>21</v>
      </c>
    </row>
    <row r="50" spans="1:24">
      <c r="A50" s="25" t="s">
        <v>1201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268</f>
        <v>268</v>
      </c>
      <c r="L50" s="32" t="s">
        <v>1110</v>
      </c>
      <c r="M50" s="31">
        <f>404</f>
        <v>404</v>
      </c>
      <c r="N50" s="32" t="s">
        <v>674</v>
      </c>
      <c r="O50" s="31">
        <f>246</f>
        <v>246</v>
      </c>
      <c r="P50" s="32" t="s">
        <v>1118</v>
      </c>
      <c r="Q50" s="31">
        <f>247</f>
        <v>247</v>
      </c>
      <c r="R50" s="32" t="s">
        <v>777</v>
      </c>
      <c r="S50" s="33">
        <f>277.05</f>
        <v>277.05</v>
      </c>
      <c r="T50" s="30">
        <f>1204827</f>
        <v>1204827</v>
      </c>
      <c r="U50" s="30" t="str">
        <f>"－"</f>
        <v>－</v>
      </c>
      <c r="V50" s="30">
        <f>390523286</f>
        <v>390523286</v>
      </c>
      <c r="W50" s="30" t="str">
        <f>"－"</f>
        <v>－</v>
      </c>
      <c r="X50" s="34">
        <f>21</f>
        <v>21</v>
      </c>
    </row>
    <row r="51" spans="1:24">
      <c r="A51" s="25" t="s">
        <v>1201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2786.5</f>
        <v>2786.5</v>
      </c>
      <c r="L51" s="32" t="s">
        <v>1110</v>
      </c>
      <c r="M51" s="31">
        <f>2935.5</f>
        <v>2935.5</v>
      </c>
      <c r="N51" s="32" t="s">
        <v>674</v>
      </c>
      <c r="O51" s="31">
        <f>2189</f>
        <v>2189</v>
      </c>
      <c r="P51" s="32" t="s">
        <v>674</v>
      </c>
      <c r="Q51" s="31">
        <f>2753</f>
        <v>2753</v>
      </c>
      <c r="R51" s="32" t="s">
        <v>777</v>
      </c>
      <c r="S51" s="33">
        <f>2667.07</f>
        <v>2667.07</v>
      </c>
      <c r="T51" s="30">
        <f>407820</f>
        <v>407820</v>
      </c>
      <c r="U51" s="30">
        <f>128000</f>
        <v>128000</v>
      </c>
      <c r="V51" s="30">
        <f>1047159755</f>
        <v>1047159755</v>
      </c>
      <c r="W51" s="30">
        <f>336603100</f>
        <v>336603100</v>
      </c>
      <c r="X51" s="34">
        <f>21</f>
        <v>21</v>
      </c>
    </row>
    <row r="52" spans="1:24">
      <c r="A52" s="25" t="s">
        <v>1201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25205</f>
        <v>25205</v>
      </c>
      <c r="L52" s="32" t="s">
        <v>1110</v>
      </c>
      <c r="M52" s="31">
        <f>25205</f>
        <v>25205</v>
      </c>
      <c r="N52" s="32" t="s">
        <v>1110</v>
      </c>
      <c r="O52" s="31">
        <f>21070</f>
        <v>21070</v>
      </c>
      <c r="P52" s="32" t="s">
        <v>674</v>
      </c>
      <c r="Q52" s="31">
        <f>25005</f>
        <v>25005</v>
      </c>
      <c r="R52" s="32" t="s">
        <v>777</v>
      </c>
      <c r="S52" s="33">
        <f>24109</f>
        <v>24109</v>
      </c>
      <c r="T52" s="30">
        <f>1664</f>
        <v>1664</v>
      </c>
      <c r="U52" s="30" t="str">
        <f>"－"</f>
        <v>－</v>
      </c>
      <c r="V52" s="30">
        <f>39158500</f>
        <v>39158500</v>
      </c>
      <c r="W52" s="30" t="str">
        <f>"－"</f>
        <v>－</v>
      </c>
      <c r="X52" s="34">
        <f>20</f>
        <v>20</v>
      </c>
    </row>
    <row r="53" spans="1:24">
      <c r="A53" s="25" t="s">
        <v>1201</v>
      </c>
      <c r="B53" s="25" t="s">
        <v>148</v>
      </c>
      <c r="C53" s="25" t="s">
        <v>149</v>
      </c>
      <c r="D53" s="25" t="s">
        <v>150</v>
      </c>
      <c r="E53" s="26" t="s">
        <v>1076</v>
      </c>
      <c r="F53" s="27" t="s">
        <v>1077</v>
      </c>
      <c r="G53" s="28" t="s">
        <v>43</v>
      </c>
      <c r="H53" s="29"/>
      <c r="I53" s="29" t="s">
        <v>44</v>
      </c>
      <c r="J53" s="30">
        <v>10</v>
      </c>
      <c r="K53" s="31">
        <f>2862</f>
        <v>2862</v>
      </c>
      <c r="L53" s="32" t="s">
        <v>1110</v>
      </c>
      <c r="M53" s="31">
        <f>2863</f>
        <v>2863</v>
      </c>
      <c r="N53" s="32" t="s">
        <v>1110</v>
      </c>
      <c r="O53" s="31">
        <f>2336</f>
        <v>2336</v>
      </c>
      <c r="P53" s="32" t="s">
        <v>674</v>
      </c>
      <c r="Q53" s="31">
        <f>2540</f>
        <v>2540</v>
      </c>
      <c r="R53" s="32" t="s">
        <v>1115</v>
      </c>
      <c r="S53" s="33">
        <f>2612.8</f>
        <v>2612.8000000000002</v>
      </c>
      <c r="T53" s="30">
        <f>15834913</f>
        <v>15834913</v>
      </c>
      <c r="U53" s="30">
        <f>8464832</f>
        <v>8464832</v>
      </c>
      <c r="V53" s="30">
        <f>40970622634</f>
        <v>40970622634</v>
      </c>
      <c r="W53" s="30">
        <f>21752131805</f>
        <v>21752131805</v>
      </c>
      <c r="X53" s="34">
        <f>5</f>
        <v>5</v>
      </c>
    </row>
    <row r="54" spans="1:24">
      <c r="A54" s="25" t="s">
        <v>1201</v>
      </c>
      <c r="B54" s="25" t="s">
        <v>148</v>
      </c>
      <c r="C54" s="25" t="s">
        <v>149</v>
      </c>
      <c r="D54" s="25" t="s">
        <v>150</v>
      </c>
      <c r="E54" s="26" t="s">
        <v>1076</v>
      </c>
      <c r="F54" s="27" t="s">
        <v>1077</v>
      </c>
      <c r="G54" s="28" t="s">
        <v>43</v>
      </c>
      <c r="H54" s="29"/>
      <c r="I54" s="29" t="s">
        <v>44</v>
      </c>
      <c r="J54" s="30">
        <v>10</v>
      </c>
      <c r="K54" s="31">
        <f>250.8</f>
        <v>250.8</v>
      </c>
      <c r="L54" s="32" t="s">
        <v>1113</v>
      </c>
      <c r="M54" s="31">
        <f>277.9</f>
        <v>277.89999999999998</v>
      </c>
      <c r="N54" s="32" t="s">
        <v>777</v>
      </c>
      <c r="O54" s="31">
        <f>249</f>
        <v>249</v>
      </c>
      <c r="P54" s="32" t="s">
        <v>1113</v>
      </c>
      <c r="Q54" s="31">
        <f>277.9</f>
        <v>277.89999999999998</v>
      </c>
      <c r="R54" s="32" t="s">
        <v>777</v>
      </c>
      <c r="S54" s="33">
        <f>269.41</f>
        <v>269.41000000000003</v>
      </c>
      <c r="T54" s="30">
        <f>86775570</f>
        <v>86775570</v>
      </c>
      <c r="U54" s="30">
        <f>61188390</f>
        <v>61188390</v>
      </c>
      <c r="V54" s="30">
        <f>23490515586</f>
        <v>23490515586</v>
      </c>
      <c r="W54" s="30">
        <f>16655996982</f>
        <v>16655996982</v>
      </c>
      <c r="X54" s="34">
        <f>16</f>
        <v>16</v>
      </c>
    </row>
    <row r="55" spans="1:24">
      <c r="A55" s="25" t="s">
        <v>1201</v>
      </c>
      <c r="B55" s="25" t="s">
        <v>151</v>
      </c>
      <c r="C55" s="25" t="s">
        <v>152</v>
      </c>
      <c r="D55" s="25" t="s">
        <v>153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1799</f>
        <v>1799</v>
      </c>
      <c r="L55" s="32" t="s">
        <v>1110</v>
      </c>
      <c r="M55" s="31">
        <f>1852</f>
        <v>1852</v>
      </c>
      <c r="N55" s="32" t="s">
        <v>883</v>
      </c>
      <c r="O55" s="31">
        <f>1683</f>
        <v>1683</v>
      </c>
      <c r="P55" s="32" t="s">
        <v>674</v>
      </c>
      <c r="Q55" s="31">
        <f>1820</f>
        <v>1820</v>
      </c>
      <c r="R55" s="32" t="s">
        <v>777</v>
      </c>
      <c r="S55" s="33">
        <f>1785.19</f>
        <v>1785.19</v>
      </c>
      <c r="T55" s="30">
        <f>19957234</f>
        <v>19957234</v>
      </c>
      <c r="U55" s="30">
        <f>12458915</f>
        <v>12458915</v>
      </c>
      <c r="V55" s="30">
        <f>35479077713</f>
        <v>35479077713</v>
      </c>
      <c r="W55" s="30">
        <f>22086832137</f>
        <v>22086832137</v>
      </c>
      <c r="X55" s="34">
        <f>21</f>
        <v>21</v>
      </c>
    </row>
    <row r="56" spans="1:24">
      <c r="A56" s="25" t="s">
        <v>1201</v>
      </c>
      <c r="B56" s="25" t="s">
        <v>154</v>
      </c>
      <c r="C56" s="25" t="s">
        <v>155</v>
      </c>
      <c r="D56" s="25" t="s">
        <v>156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2646</f>
        <v>2646</v>
      </c>
      <c r="L56" s="32" t="s">
        <v>1110</v>
      </c>
      <c r="M56" s="31">
        <f>2696</f>
        <v>2696</v>
      </c>
      <c r="N56" s="32" t="s">
        <v>674</v>
      </c>
      <c r="O56" s="31">
        <f>2249</f>
        <v>2249</v>
      </c>
      <c r="P56" s="32" t="s">
        <v>674</v>
      </c>
      <c r="Q56" s="31">
        <f>2577</f>
        <v>2577</v>
      </c>
      <c r="R56" s="32" t="s">
        <v>777</v>
      </c>
      <c r="S56" s="33">
        <f>2501.05</f>
        <v>2501.0500000000002</v>
      </c>
      <c r="T56" s="30">
        <f>163153</f>
        <v>163153</v>
      </c>
      <c r="U56" s="30">
        <f>9796</f>
        <v>9796</v>
      </c>
      <c r="V56" s="30">
        <f>401511653</f>
        <v>401511653</v>
      </c>
      <c r="W56" s="30">
        <f>25268564</f>
        <v>25268564</v>
      </c>
      <c r="X56" s="34">
        <f>21</f>
        <v>21</v>
      </c>
    </row>
    <row r="57" spans="1:24">
      <c r="A57" s="25" t="s">
        <v>1201</v>
      </c>
      <c r="B57" s="25" t="s">
        <v>157</v>
      </c>
      <c r="C57" s="25" t="s">
        <v>158</v>
      </c>
      <c r="D57" s="25" t="s">
        <v>159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3780</f>
        <v>3780</v>
      </c>
      <c r="L57" s="32" t="s">
        <v>1110</v>
      </c>
      <c r="M57" s="31">
        <f>3785</f>
        <v>3785</v>
      </c>
      <c r="N57" s="32" t="s">
        <v>1110</v>
      </c>
      <c r="O57" s="31">
        <f>3095</f>
        <v>3095</v>
      </c>
      <c r="P57" s="32" t="s">
        <v>674</v>
      </c>
      <c r="Q57" s="31">
        <f>3640</f>
        <v>3640</v>
      </c>
      <c r="R57" s="32" t="s">
        <v>777</v>
      </c>
      <c r="S57" s="33">
        <f>3500</f>
        <v>3500</v>
      </c>
      <c r="T57" s="30">
        <f>1124940</f>
        <v>1124940</v>
      </c>
      <c r="U57" s="30">
        <f>284495</f>
        <v>284495</v>
      </c>
      <c r="V57" s="30">
        <f>3818075085</f>
        <v>3818075085</v>
      </c>
      <c r="W57" s="30">
        <f>939723055</f>
        <v>939723055</v>
      </c>
      <c r="X57" s="34">
        <f>21</f>
        <v>21</v>
      </c>
    </row>
    <row r="58" spans="1:24">
      <c r="A58" s="25" t="s">
        <v>1201</v>
      </c>
      <c r="B58" s="25" t="s">
        <v>160</v>
      </c>
      <c r="C58" s="25" t="s">
        <v>918</v>
      </c>
      <c r="D58" s="25" t="s">
        <v>919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31820</f>
        <v>31820</v>
      </c>
      <c r="L58" s="32" t="s">
        <v>1115</v>
      </c>
      <c r="M58" s="31">
        <f>36050</f>
        <v>36050</v>
      </c>
      <c r="N58" s="32" t="s">
        <v>760</v>
      </c>
      <c r="O58" s="31">
        <f>31800</f>
        <v>31800</v>
      </c>
      <c r="P58" s="32" t="s">
        <v>1115</v>
      </c>
      <c r="Q58" s="31">
        <f>35510</f>
        <v>35510</v>
      </c>
      <c r="R58" s="32" t="s">
        <v>1114</v>
      </c>
      <c r="S58" s="33">
        <f>34638</f>
        <v>34638</v>
      </c>
      <c r="T58" s="30">
        <f>197</f>
        <v>197</v>
      </c>
      <c r="U58" s="30" t="str">
        <f>"－"</f>
        <v>－</v>
      </c>
      <c r="V58" s="30">
        <f>6563540</f>
        <v>6563540</v>
      </c>
      <c r="W58" s="30" t="str">
        <f>"－"</f>
        <v>－</v>
      </c>
      <c r="X58" s="34">
        <f>10</f>
        <v>10</v>
      </c>
    </row>
    <row r="59" spans="1:24">
      <c r="A59" s="25" t="s">
        <v>1201</v>
      </c>
      <c r="B59" s="25" t="s">
        <v>161</v>
      </c>
      <c r="C59" s="25" t="s">
        <v>162</v>
      </c>
      <c r="D59" s="25" t="s">
        <v>163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27990</f>
        <v>27990</v>
      </c>
      <c r="L59" s="32" t="s">
        <v>1110</v>
      </c>
      <c r="M59" s="31">
        <f>27990</f>
        <v>27990</v>
      </c>
      <c r="N59" s="32" t="s">
        <v>1110</v>
      </c>
      <c r="O59" s="31">
        <f>21260</f>
        <v>21260</v>
      </c>
      <c r="P59" s="32" t="s">
        <v>1124</v>
      </c>
      <c r="Q59" s="31">
        <f>27030</f>
        <v>27030</v>
      </c>
      <c r="R59" s="32" t="s">
        <v>874</v>
      </c>
      <c r="S59" s="33">
        <f>25947.73</f>
        <v>25947.73</v>
      </c>
      <c r="T59" s="30">
        <f>259</f>
        <v>259</v>
      </c>
      <c r="U59" s="30" t="str">
        <f>"－"</f>
        <v>－</v>
      </c>
      <c r="V59" s="30">
        <f>6116670</f>
        <v>6116670</v>
      </c>
      <c r="W59" s="30" t="str">
        <f>"－"</f>
        <v>－</v>
      </c>
      <c r="X59" s="34">
        <f>11</f>
        <v>11</v>
      </c>
    </row>
    <row r="60" spans="1:24">
      <c r="A60" s="25" t="s">
        <v>1201</v>
      </c>
      <c r="B60" s="25" t="s">
        <v>164</v>
      </c>
      <c r="C60" s="25" t="s">
        <v>165</v>
      </c>
      <c r="D60" s="25" t="s">
        <v>166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2995</f>
        <v>2995</v>
      </c>
      <c r="L60" s="32" t="s">
        <v>1110</v>
      </c>
      <c r="M60" s="31">
        <f>2995</f>
        <v>2995</v>
      </c>
      <c r="N60" s="32" t="s">
        <v>1110</v>
      </c>
      <c r="O60" s="31">
        <f>2534</f>
        <v>2534</v>
      </c>
      <c r="P60" s="32" t="s">
        <v>674</v>
      </c>
      <c r="Q60" s="31">
        <f>2867</f>
        <v>2867</v>
      </c>
      <c r="R60" s="32" t="s">
        <v>777</v>
      </c>
      <c r="S60" s="33">
        <f>2798</f>
        <v>2798</v>
      </c>
      <c r="T60" s="30">
        <f>2210</f>
        <v>2210</v>
      </c>
      <c r="U60" s="30">
        <f>1</f>
        <v>1</v>
      </c>
      <c r="V60" s="30">
        <f>6129451</f>
        <v>6129451</v>
      </c>
      <c r="W60" s="30">
        <f>2634</f>
        <v>2634</v>
      </c>
      <c r="X60" s="34">
        <f>21</f>
        <v>21</v>
      </c>
    </row>
    <row r="61" spans="1:24">
      <c r="A61" s="25" t="s">
        <v>1201</v>
      </c>
      <c r="B61" s="25" t="s">
        <v>167</v>
      </c>
      <c r="C61" s="25" t="s">
        <v>168</v>
      </c>
      <c r="D61" s="25" t="s">
        <v>169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1736</f>
        <v>1736</v>
      </c>
      <c r="L61" s="32" t="s">
        <v>1110</v>
      </c>
      <c r="M61" s="31">
        <f>1779</f>
        <v>1779</v>
      </c>
      <c r="N61" s="32" t="s">
        <v>674</v>
      </c>
      <c r="O61" s="31">
        <f>1733</f>
        <v>1733</v>
      </c>
      <c r="P61" s="32" t="s">
        <v>1110</v>
      </c>
      <c r="Q61" s="31">
        <f>1756</f>
        <v>1756</v>
      </c>
      <c r="R61" s="32" t="s">
        <v>777</v>
      </c>
      <c r="S61" s="33">
        <f>1757.76</f>
        <v>1757.76</v>
      </c>
      <c r="T61" s="30">
        <f>10530172</f>
        <v>10530172</v>
      </c>
      <c r="U61" s="30">
        <f>6936444</f>
        <v>6936444</v>
      </c>
      <c r="V61" s="30">
        <f>18479852810</f>
        <v>18479852810</v>
      </c>
      <c r="W61" s="30">
        <f>12154439340</f>
        <v>12154439340</v>
      </c>
      <c r="X61" s="34">
        <f>21</f>
        <v>21</v>
      </c>
    </row>
    <row r="62" spans="1:24">
      <c r="A62" s="25" t="s">
        <v>1201</v>
      </c>
      <c r="B62" s="25" t="s">
        <v>170</v>
      </c>
      <c r="C62" s="25" t="s">
        <v>171</v>
      </c>
      <c r="D62" s="25" t="s">
        <v>172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</v>
      </c>
      <c r="K62" s="31">
        <f>2924</f>
        <v>2924</v>
      </c>
      <c r="L62" s="32" t="s">
        <v>1110</v>
      </c>
      <c r="M62" s="31">
        <f>2924</f>
        <v>2924</v>
      </c>
      <c r="N62" s="32" t="s">
        <v>1110</v>
      </c>
      <c r="O62" s="31">
        <f>2445</f>
        <v>2445</v>
      </c>
      <c r="P62" s="32" t="s">
        <v>674</v>
      </c>
      <c r="Q62" s="31">
        <f>2711</f>
        <v>2711</v>
      </c>
      <c r="R62" s="32" t="s">
        <v>777</v>
      </c>
      <c r="S62" s="33">
        <f>2702.8</f>
        <v>2702.8</v>
      </c>
      <c r="T62" s="30">
        <f>624</f>
        <v>624</v>
      </c>
      <c r="U62" s="30" t="str">
        <f>"－"</f>
        <v>－</v>
      </c>
      <c r="V62" s="30">
        <f>1652253</f>
        <v>1652253</v>
      </c>
      <c r="W62" s="30" t="str">
        <f>"－"</f>
        <v>－</v>
      </c>
      <c r="X62" s="34">
        <f>20</f>
        <v>20</v>
      </c>
    </row>
    <row r="63" spans="1:24">
      <c r="A63" s="25" t="s">
        <v>1201</v>
      </c>
      <c r="B63" s="25" t="s">
        <v>173</v>
      </c>
      <c r="C63" s="25" t="s">
        <v>174</v>
      </c>
      <c r="D63" s="25" t="s">
        <v>175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10</v>
      </c>
      <c r="K63" s="31">
        <f>2878</f>
        <v>2878</v>
      </c>
      <c r="L63" s="32" t="s">
        <v>1110</v>
      </c>
      <c r="M63" s="31">
        <f>2878</f>
        <v>2878</v>
      </c>
      <c r="N63" s="32" t="s">
        <v>1110</v>
      </c>
      <c r="O63" s="31">
        <f>2439</f>
        <v>2439</v>
      </c>
      <c r="P63" s="32" t="s">
        <v>674</v>
      </c>
      <c r="Q63" s="31">
        <f>2821</f>
        <v>2821</v>
      </c>
      <c r="R63" s="32" t="s">
        <v>777</v>
      </c>
      <c r="S63" s="33">
        <f>2703.14</f>
        <v>2703.14</v>
      </c>
      <c r="T63" s="30">
        <f>3770</f>
        <v>3770</v>
      </c>
      <c r="U63" s="30" t="str">
        <f>"－"</f>
        <v>－</v>
      </c>
      <c r="V63" s="30">
        <f>10069565</f>
        <v>10069565</v>
      </c>
      <c r="W63" s="30" t="str">
        <f>"－"</f>
        <v>－</v>
      </c>
      <c r="X63" s="34">
        <f>21</f>
        <v>21</v>
      </c>
    </row>
    <row r="64" spans="1:24">
      <c r="A64" s="25" t="s">
        <v>1201</v>
      </c>
      <c r="B64" s="25" t="s">
        <v>176</v>
      </c>
      <c r="C64" s="25" t="s">
        <v>177</v>
      </c>
      <c r="D64" s="25" t="s">
        <v>178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39360</f>
        <v>39360</v>
      </c>
      <c r="L64" s="32" t="s">
        <v>1110</v>
      </c>
      <c r="M64" s="31">
        <f>47790</f>
        <v>47790</v>
      </c>
      <c r="N64" s="32" t="s">
        <v>883</v>
      </c>
      <c r="O64" s="31">
        <f>38080</f>
        <v>38080</v>
      </c>
      <c r="P64" s="32" t="s">
        <v>1116</v>
      </c>
      <c r="Q64" s="31">
        <f>47790</f>
        <v>47790</v>
      </c>
      <c r="R64" s="32" t="s">
        <v>777</v>
      </c>
      <c r="S64" s="33">
        <f>42762</f>
        <v>42762</v>
      </c>
      <c r="T64" s="30">
        <f>24</f>
        <v>24</v>
      </c>
      <c r="U64" s="30" t="str">
        <f>"－"</f>
        <v>－</v>
      </c>
      <c r="V64" s="30">
        <f>1105830</f>
        <v>1105830</v>
      </c>
      <c r="W64" s="30" t="str">
        <f>"－"</f>
        <v>－</v>
      </c>
      <c r="X64" s="34">
        <f>5</f>
        <v>5</v>
      </c>
    </row>
    <row r="65" spans="1:24">
      <c r="A65" s="25" t="s">
        <v>1201</v>
      </c>
      <c r="B65" s="25" t="s">
        <v>179</v>
      </c>
      <c r="C65" s="25" t="s">
        <v>180</v>
      </c>
      <c r="D65" s="25" t="s">
        <v>181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23605</f>
        <v>23605</v>
      </c>
      <c r="L65" s="32" t="s">
        <v>1110</v>
      </c>
      <c r="M65" s="31">
        <f>23715</f>
        <v>23715</v>
      </c>
      <c r="N65" s="32" t="s">
        <v>760</v>
      </c>
      <c r="O65" s="31">
        <f>22900</f>
        <v>22900</v>
      </c>
      <c r="P65" s="32" t="s">
        <v>674</v>
      </c>
      <c r="Q65" s="31">
        <f>23135</f>
        <v>23135</v>
      </c>
      <c r="R65" s="32" t="s">
        <v>777</v>
      </c>
      <c r="S65" s="33">
        <f>23356.67</f>
        <v>23356.67</v>
      </c>
      <c r="T65" s="30">
        <f>245753</f>
        <v>245753</v>
      </c>
      <c r="U65" s="30">
        <f>175008</f>
        <v>175008</v>
      </c>
      <c r="V65" s="30">
        <f>5705302021</f>
        <v>5705302021</v>
      </c>
      <c r="W65" s="30">
        <f>4058494256</f>
        <v>4058494256</v>
      </c>
      <c r="X65" s="34">
        <f>21</f>
        <v>21</v>
      </c>
    </row>
    <row r="66" spans="1:24">
      <c r="A66" s="25" t="s">
        <v>1201</v>
      </c>
      <c r="B66" s="25" t="s">
        <v>182</v>
      </c>
      <c r="C66" s="25" t="s">
        <v>183</v>
      </c>
      <c r="D66" s="25" t="s">
        <v>184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13305</f>
        <v>13305</v>
      </c>
      <c r="L66" s="32" t="s">
        <v>1110</v>
      </c>
      <c r="M66" s="31">
        <f>13685</f>
        <v>13685</v>
      </c>
      <c r="N66" s="32" t="s">
        <v>674</v>
      </c>
      <c r="O66" s="31">
        <f>13305</f>
        <v>13305</v>
      </c>
      <c r="P66" s="32" t="s">
        <v>1110</v>
      </c>
      <c r="Q66" s="31">
        <f>13480</f>
        <v>13480</v>
      </c>
      <c r="R66" s="32" t="s">
        <v>777</v>
      </c>
      <c r="S66" s="33">
        <f>13490.71</f>
        <v>13490.71</v>
      </c>
      <c r="T66" s="30">
        <f>551073</f>
        <v>551073</v>
      </c>
      <c r="U66" s="30">
        <f>372342</f>
        <v>372342</v>
      </c>
      <c r="V66" s="30">
        <f>7441838093</f>
        <v>7441838093</v>
      </c>
      <c r="W66" s="30">
        <f>5035355053</f>
        <v>5035355053</v>
      </c>
      <c r="X66" s="34">
        <f>21</f>
        <v>21</v>
      </c>
    </row>
    <row r="67" spans="1:24">
      <c r="A67" s="25" t="s">
        <v>1201</v>
      </c>
      <c r="B67" s="25" t="s">
        <v>185</v>
      </c>
      <c r="C67" s="25" t="s">
        <v>920</v>
      </c>
      <c r="D67" s="25" t="s">
        <v>921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1784</f>
        <v>1784</v>
      </c>
      <c r="L67" s="32" t="s">
        <v>1110</v>
      </c>
      <c r="M67" s="31">
        <f>1867</f>
        <v>1867</v>
      </c>
      <c r="N67" s="32" t="s">
        <v>883</v>
      </c>
      <c r="O67" s="31">
        <f>1681</f>
        <v>1681</v>
      </c>
      <c r="P67" s="32" t="s">
        <v>674</v>
      </c>
      <c r="Q67" s="31">
        <f>1835</f>
        <v>1835</v>
      </c>
      <c r="R67" s="32" t="s">
        <v>777</v>
      </c>
      <c r="S67" s="33">
        <f>1794.76</f>
        <v>1794.76</v>
      </c>
      <c r="T67" s="30">
        <f>10737318</f>
        <v>10737318</v>
      </c>
      <c r="U67" s="30">
        <f>4560071</f>
        <v>4560071</v>
      </c>
      <c r="V67" s="30">
        <f>19098699125</f>
        <v>19098699125</v>
      </c>
      <c r="W67" s="30">
        <f>8141118747</f>
        <v>8141118747</v>
      </c>
      <c r="X67" s="34">
        <f>21</f>
        <v>21</v>
      </c>
    </row>
    <row r="68" spans="1:24">
      <c r="A68" s="25" t="s">
        <v>1201</v>
      </c>
      <c r="B68" s="25" t="s">
        <v>186</v>
      </c>
      <c r="C68" s="25" t="s">
        <v>187</v>
      </c>
      <c r="D68" s="25" t="s">
        <v>188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</v>
      </c>
      <c r="K68" s="31">
        <f>2363</f>
        <v>2363</v>
      </c>
      <c r="L68" s="32" t="s">
        <v>1110</v>
      </c>
      <c r="M68" s="31">
        <f>2363</f>
        <v>2363</v>
      </c>
      <c r="N68" s="32" t="s">
        <v>1110</v>
      </c>
      <c r="O68" s="31">
        <f>1874</f>
        <v>1874</v>
      </c>
      <c r="P68" s="32" t="s">
        <v>674</v>
      </c>
      <c r="Q68" s="31">
        <f>2291</f>
        <v>2291</v>
      </c>
      <c r="R68" s="32" t="s">
        <v>777</v>
      </c>
      <c r="S68" s="33">
        <f>2209.62</f>
        <v>2209.62</v>
      </c>
      <c r="T68" s="30">
        <f>27980824</f>
        <v>27980824</v>
      </c>
      <c r="U68" s="30">
        <f>3529723</f>
        <v>3529723</v>
      </c>
      <c r="V68" s="30">
        <f>60480958145</f>
        <v>60480958145</v>
      </c>
      <c r="W68" s="30">
        <f>7736402097</f>
        <v>7736402097</v>
      </c>
      <c r="X68" s="34">
        <f>21</f>
        <v>21</v>
      </c>
    </row>
    <row r="69" spans="1:24">
      <c r="A69" s="25" t="s">
        <v>1201</v>
      </c>
      <c r="B69" s="25" t="s">
        <v>189</v>
      </c>
      <c r="C69" s="25" t="s">
        <v>190</v>
      </c>
      <c r="D69" s="25" t="s">
        <v>191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10</v>
      </c>
      <c r="K69" s="31">
        <f>7539</f>
        <v>7539</v>
      </c>
      <c r="L69" s="32" t="s">
        <v>1124</v>
      </c>
      <c r="M69" s="31">
        <f>7594</f>
        <v>7594</v>
      </c>
      <c r="N69" s="32" t="s">
        <v>876</v>
      </c>
      <c r="O69" s="31">
        <f>7523</f>
        <v>7523</v>
      </c>
      <c r="P69" s="32" t="s">
        <v>1123</v>
      </c>
      <c r="Q69" s="31">
        <f>7544</f>
        <v>7544</v>
      </c>
      <c r="R69" s="32" t="s">
        <v>874</v>
      </c>
      <c r="S69" s="33">
        <f>7549.6</f>
        <v>7549.6</v>
      </c>
      <c r="T69" s="30">
        <f>3030</f>
        <v>3030</v>
      </c>
      <c r="U69" s="30" t="str">
        <f>"－"</f>
        <v>－</v>
      </c>
      <c r="V69" s="30">
        <f>22887060</f>
        <v>22887060</v>
      </c>
      <c r="W69" s="30" t="str">
        <f>"－"</f>
        <v>－</v>
      </c>
      <c r="X69" s="34">
        <f>5</f>
        <v>5</v>
      </c>
    </row>
    <row r="70" spans="1:24">
      <c r="A70" s="25" t="s">
        <v>1201</v>
      </c>
      <c r="B70" s="25" t="s">
        <v>195</v>
      </c>
      <c r="C70" s="25" t="s">
        <v>196</v>
      </c>
      <c r="D70" s="25" t="s">
        <v>197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19355</f>
        <v>19355</v>
      </c>
      <c r="L70" s="32" t="s">
        <v>1110</v>
      </c>
      <c r="M70" s="31">
        <f>19355</f>
        <v>19355</v>
      </c>
      <c r="N70" s="32" t="s">
        <v>1110</v>
      </c>
      <c r="O70" s="31">
        <f>15595</f>
        <v>15595</v>
      </c>
      <c r="P70" s="32" t="s">
        <v>1124</v>
      </c>
      <c r="Q70" s="31">
        <f>19310</f>
        <v>19310</v>
      </c>
      <c r="R70" s="32" t="s">
        <v>777</v>
      </c>
      <c r="S70" s="33">
        <f>18515.24</f>
        <v>18515.240000000002</v>
      </c>
      <c r="T70" s="30">
        <f>6268</f>
        <v>6268</v>
      </c>
      <c r="U70" s="30">
        <f>1</f>
        <v>1</v>
      </c>
      <c r="V70" s="30">
        <f>116426215</f>
        <v>116426215</v>
      </c>
      <c r="W70" s="30">
        <f>19150</f>
        <v>19150</v>
      </c>
      <c r="X70" s="34">
        <f>21</f>
        <v>21</v>
      </c>
    </row>
    <row r="71" spans="1:24">
      <c r="A71" s="25" t="s">
        <v>1201</v>
      </c>
      <c r="B71" s="25" t="s">
        <v>198</v>
      </c>
      <c r="C71" s="25" t="s">
        <v>199</v>
      </c>
      <c r="D71" s="25" t="s">
        <v>200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32000</f>
        <v>32000</v>
      </c>
      <c r="L71" s="32" t="s">
        <v>1110</v>
      </c>
      <c r="M71" s="31">
        <f>32000</f>
        <v>32000</v>
      </c>
      <c r="N71" s="32" t="s">
        <v>1110</v>
      </c>
      <c r="O71" s="31">
        <f>27300</f>
        <v>27300</v>
      </c>
      <c r="P71" s="32" t="s">
        <v>674</v>
      </c>
      <c r="Q71" s="31">
        <f>30420</f>
        <v>30420</v>
      </c>
      <c r="R71" s="32" t="s">
        <v>777</v>
      </c>
      <c r="S71" s="33">
        <f>29612.86</f>
        <v>29612.86</v>
      </c>
      <c r="T71" s="30">
        <f>52947</f>
        <v>52947</v>
      </c>
      <c r="U71" s="30">
        <f>21523</f>
        <v>21523</v>
      </c>
      <c r="V71" s="30">
        <f>1536881996</f>
        <v>1536881996</v>
      </c>
      <c r="W71" s="30">
        <f>611700166</f>
        <v>611700166</v>
      </c>
      <c r="X71" s="34">
        <f>21</f>
        <v>21</v>
      </c>
    </row>
    <row r="72" spans="1:24">
      <c r="A72" s="25" t="s">
        <v>1201</v>
      </c>
      <c r="B72" s="25" t="s">
        <v>201</v>
      </c>
      <c r="C72" s="25" t="s">
        <v>202</v>
      </c>
      <c r="D72" s="25" t="s">
        <v>203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10</v>
      </c>
      <c r="K72" s="31">
        <f>10190</f>
        <v>10190</v>
      </c>
      <c r="L72" s="32" t="s">
        <v>1110</v>
      </c>
      <c r="M72" s="31">
        <f>10395</f>
        <v>10395</v>
      </c>
      <c r="N72" s="32" t="s">
        <v>777</v>
      </c>
      <c r="O72" s="31">
        <f>9658</f>
        <v>9658</v>
      </c>
      <c r="P72" s="32" t="s">
        <v>674</v>
      </c>
      <c r="Q72" s="31">
        <f>10330</f>
        <v>10330</v>
      </c>
      <c r="R72" s="32" t="s">
        <v>777</v>
      </c>
      <c r="S72" s="33">
        <f>10088.86</f>
        <v>10088.86</v>
      </c>
      <c r="T72" s="30">
        <f>17100</f>
        <v>17100</v>
      </c>
      <c r="U72" s="30">
        <f>40</f>
        <v>40</v>
      </c>
      <c r="V72" s="30">
        <f>172436640</f>
        <v>172436640</v>
      </c>
      <c r="W72" s="30">
        <f>402560</f>
        <v>402560</v>
      </c>
      <c r="X72" s="34">
        <f>21</f>
        <v>21</v>
      </c>
    </row>
    <row r="73" spans="1:24">
      <c r="A73" s="25" t="s">
        <v>1201</v>
      </c>
      <c r="B73" s="25" t="s">
        <v>204</v>
      </c>
      <c r="C73" s="25" t="s">
        <v>205</v>
      </c>
      <c r="D73" s="25" t="s">
        <v>206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1840</f>
        <v>1840</v>
      </c>
      <c r="L73" s="32" t="s">
        <v>1110</v>
      </c>
      <c r="M73" s="31">
        <f>1888</f>
        <v>1888</v>
      </c>
      <c r="N73" s="32" t="s">
        <v>676</v>
      </c>
      <c r="O73" s="31">
        <f>1835</f>
        <v>1835</v>
      </c>
      <c r="P73" s="32" t="s">
        <v>1110</v>
      </c>
      <c r="Q73" s="31">
        <f>1870</f>
        <v>1870</v>
      </c>
      <c r="R73" s="32" t="s">
        <v>777</v>
      </c>
      <c r="S73" s="33">
        <f>1861.81</f>
        <v>1861.81</v>
      </c>
      <c r="T73" s="30">
        <f>3080479</f>
        <v>3080479</v>
      </c>
      <c r="U73" s="30">
        <f>2397000</f>
        <v>2397000</v>
      </c>
      <c r="V73" s="30">
        <f>5764356952</f>
        <v>5764356952</v>
      </c>
      <c r="W73" s="30">
        <f>4491128100</f>
        <v>4491128100</v>
      </c>
      <c r="X73" s="34">
        <f>21</f>
        <v>21</v>
      </c>
    </row>
    <row r="74" spans="1:24">
      <c r="A74" s="25" t="s">
        <v>1201</v>
      </c>
      <c r="B74" s="25" t="s">
        <v>207</v>
      </c>
      <c r="C74" s="25" t="s">
        <v>208</v>
      </c>
      <c r="D74" s="25" t="s">
        <v>209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1863</f>
        <v>1863</v>
      </c>
      <c r="L74" s="32" t="s">
        <v>1110</v>
      </c>
      <c r="M74" s="31">
        <f>1886</f>
        <v>1886</v>
      </c>
      <c r="N74" s="32" t="s">
        <v>676</v>
      </c>
      <c r="O74" s="31">
        <f>1837</f>
        <v>1837</v>
      </c>
      <c r="P74" s="32" t="s">
        <v>674</v>
      </c>
      <c r="Q74" s="31">
        <f>1880</f>
        <v>1880</v>
      </c>
      <c r="R74" s="32" t="s">
        <v>777</v>
      </c>
      <c r="S74" s="33">
        <f>1866.05</f>
        <v>1866.05</v>
      </c>
      <c r="T74" s="30">
        <f>708263</f>
        <v>708263</v>
      </c>
      <c r="U74" s="30" t="str">
        <f>"－"</f>
        <v>－</v>
      </c>
      <c r="V74" s="30">
        <f>1315973280</f>
        <v>1315973280</v>
      </c>
      <c r="W74" s="30" t="str">
        <f>"－"</f>
        <v>－</v>
      </c>
      <c r="X74" s="34">
        <f>21</f>
        <v>21</v>
      </c>
    </row>
    <row r="75" spans="1:24">
      <c r="A75" s="25" t="s">
        <v>1201</v>
      </c>
      <c r="B75" s="25" t="s">
        <v>210</v>
      </c>
      <c r="C75" s="25" t="s">
        <v>211</v>
      </c>
      <c r="D75" s="25" t="s">
        <v>212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21410</f>
        <v>21410</v>
      </c>
      <c r="L75" s="32" t="s">
        <v>1110</v>
      </c>
      <c r="M75" s="31">
        <f>21480</f>
        <v>21480</v>
      </c>
      <c r="N75" s="32" t="s">
        <v>777</v>
      </c>
      <c r="O75" s="31">
        <f>16900</f>
        <v>16900</v>
      </c>
      <c r="P75" s="32" t="s">
        <v>1124</v>
      </c>
      <c r="Q75" s="31">
        <f>21480</f>
        <v>21480</v>
      </c>
      <c r="R75" s="32" t="s">
        <v>777</v>
      </c>
      <c r="S75" s="33">
        <f>20509.52</f>
        <v>20509.52</v>
      </c>
      <c r="T75" s="30">
        <f>1147</f>
        <v>1147</v>
      </c>
      <c r="U75" s="30" t="str">
        <f>"－"</f>
        <v>－</v>
      </c>
      <c r="V75" s="30">
        <f>23454365</f>
        <v>23454365</v>
      </c>
      <c r="W75" s="30" t="str">
        <f>"－"</f>
        <v>－</v>
      </c>
      <c r="X75" s="34">
        <f>21</f>
        <v>21</v>
      </c>
    </row>
    <row r="76" spans="1:24">
      <c r="A76" s="25" t="s">
        <v>1201</v>
      </c>
      <c r="B76" s="25" t="s">
        <v>213</v>
      </c>
      <c r="C76" s="25" t="s">
        <v>214</v>
      </c>
      <c r="D76" s="25" t="s">
        <v>215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9475</f>
        <v>9475</v>
      </c>
      <c r="L76" s="32" t="s">
        <v>1110</v>
      </c>
      <c r="M76" s="31">
        <f>9479</f>
        <v>9479</v>
      </c>
      <c r="N76" s="32" t="s">
        <v>1123</v>
      </c>
      <c r="O76" s="31">
        <f>8700</f>
        <v>8700</v>
      </c>
      <c r="P76" s="32" t="s">
        <v>674</v>
      </c>
      <c r="Q76" s="31">
        <f>9374</f>
        <v>9374</v>
      </c>
      <c r="R76" s="32" t="s">
        <v>777</v>
      </c>
      <c r="S76" s="33">
        <f>9363.1</f>
        <v>9363.1</v>
      </c>
      <c r="T76" s="30">
        <f>3721</f>
        <v>3721</v>
      </c>
      <c r="U76" s="30">
        <f>1</f>
        <v>1</v>
      </c>
      <c r="V76" s="30">
        <f>34461340</f>
        <v>34461340</v>
      </c>
      <c r="W76" s="30">
        <f>9424</f>
        <v>9424</v>
      </c>
      <c r="X76" s="34">
        <f>21</f>
        <v>21</v>
      </c>
    </row>
    <row r="77" spans="1:24">
      <c r="A77" s="25" t="s">
        <v>1201</v>
      </c>
      <c r="B77" s="25" t="s">
        <v>216</v>
      </c>
      <c r="C77" s="25" t="s">
        <v>217</v>
      </c>
      <c r="D77" s="25" t="s">
        <v>218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11110</f>
        <v>11110</v>
      </c>
      <c r="L77" s="32" t="s">
        <v>1110</v>
      </c>
      <c r="M77" s="31">
        <f>11260</f>
        <v>11260</v>
      </c>
      <c r="N77" s="32" t="s">
        <v>680</v>
      </c>
      <c r="O77" s="31">
        <f>10425</f>
        <v>10425</v>
      </c>
      <c r="P77" s="32" t="s">
        <v>1115</v>
      </c>
      <c r="Q77" s="31">
        <f>11025</f>
        <v>11025</v>
      </c>
      <c r="R77" s="32" t="s">
        <v>777</v>
      </c>
      <c r="S77" s="33">
        <f>10934.05</f>
        <v>10934.05</v>
      </c>
      <c r="T77" s="30">
        <f>4230561</f>
        <v>4230561</v>
      </c>
      <c r="U77" s="30">
        <f>688832</f>
        <v>688832</v>
      </c>
      <c r="V77" s="30">
        <f>46243901851</f>
        <v>46243901851</v>
      </c>
      <c r="W77" s="30">
        <f>7619626806</f>
        <v>7619626806</v>
      </c>
      <c r="X77" s="34">
        <f>21</f>
        <v>21</v>
      </c>
    </row>
    <row r="78" spans="1:24">
      <c r="A78" s="25" t="s">
        <v>1201</v>
      </c>
      <c r="B78" s="25" t="s">
        <v>219</v>
      </c>
      <c r="C78" s="25" t="s">
        <v>220</v>
      </c>
      <c r="D78" s="25" t="s">
        <v>221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4435</f>
        <v>4435</v>
      </c>
      <c r="L78" s="32" t="s">
        <v>1110</v>
      </c>
      <c r="M78" s="31">
        <f>4435</f>
        <v>4435</v>
      </c>
      <c r="N78" s="32" t="s">
        <v>1110</v>
      </c>
      <c r="O78" s="31">
        <f>3885</f>
        <v>3885</v>
      </c>
      <c r="P78" s="32" t="s">
        <v>1124</v>
      </c>
      <c r="Q78" s="31">
        <f>4090</f>
        <v>4090</v>
      </c>
      <c r="R78" s="32" t="s">
        <v>777</v>
      </c>
      <c r="S78" s="33">
        <f>4115</f>
        <v>4115</v>
      </c>
      <c r="T78" s="30">
        <f>365718</f>
        <v>365718</v>
      </c>
      <c r="U78" s="30">
        <f>2158</f>
        <v>2158</v>
      </c>
      <c r="V78" s="30">
        <f>1497482620</f>
        <v>1497482620</v>
      </c>
      <c r="W78" s="30">
        <f>8454710</f>
        <v>8454710</v>
      </c>
      <c r="X78" s="34">
        <f>21</f>
        <v>21</v>
      </c>
    </row>
    <row r="79" spans="1:24">
      <c r="A79" s="25" t="s">
        <v>1201</v>
      </c>
      <c r="B79" s="25" t="s">
        <v>222</v>
      </c>
      <c r="C79" s="25" t="s">
        <v>223</v>
      </c>
      <c r="D79" s="25" t="s">
        <v>224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13020</f>
        <v>13020</v>
      </c>
      <c r="L79" s="32" t="s">
        <v>1110</v>
      </c>
      <c r="M79" s="31">
        <f>13020</f>
        <v>13020</v>
      </c>
      <c r="N79" s="32" t="s">
        <v>1110</v>
      </c>
      <c r="O79" s="31">
        <f>11110</f>
        <v>11110</v>
      </c>
      <c r="P79" s="32" t="s">
        <v>674</v>
      </c>
      <c r="Q79" s="31">
        <f>12630</f>
        <v>12630</v>
      </c>
      <c r="R79" s="32" t="s">
        <v>777</v>
      </c>
      <c r="S79" s="33">
        <f>12376.67</f>
        <v>12376.67</v>
      </c>
      <c r="T79" s="30">
        <f>316074</f>
        <v>316074</v>
      </c>
      <c r="U79" s="30">
        <f>90</f>
        <v>90</v>
      </c>
      <c r="V79" s="30">
        <f>3837748245</f>
        <v>3837748245</v>
      </c>
      <c r="W79" s="30">
        <f>1032005</f>
        <v>1032005</v>
      </c>
      <c r="X79" s="34">
        <f>21</f>
        <v>21</v>
      </c>
    </row>
    <row r="80" spans="1:24">
      <c r="A80" s="25" t="s">
        <v>1201</v>
      </c>
      <c r="B80" s="25" t="s">
        <v>225</v>
      </c>
      <c r="C80" s="25" t="s">
        <v>226</v>
      </c>
      <c r="D80" s="25" t="s">
        <v>227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42450</f>
        <v>42450</v>
      </c>
      <c r="L80" s="32" t="s">
        <v>1110</v>
      </c>
      <c r="M80" s="31">
        <f>42490</f>
        <v>42490</v>
      </c>
      <c r="N80" s="32" t="s">
        <v>1110</v>
      </c>
      <c r="O80" s="31">
        <f>35240</f>
        <v>35240</v>
      </c>
      <c r="P80" s="32" t="s">
        <v>674</v>
      </c>
      <c r="Q80" s="31">
        <f>41430</f>
        <v>41430</v>
      </c>
      <c r="R80" s="32" t="s">
        <v>777</v>
      </c>
      <c r="S80" s="33">
        <f>40099.52</f>
        <v>40099.519999999997</v>
      </c>
      <c r="T80" s="30">
        <f>9057</f>
        <v>9057</v>
      </c>
      <c r="U80" s="30">
        <f>19</f>
        <v>19</v>
      </c>
      <c r="V80" s="30">
        <f>357248720</f>
        <v>357248720</v>
      </c>
      <c r="W80" s="30">
        <f>715040</f>
        <v>715040</v>
      </c>
      <c r="X80" s="34">
        <f>21</f>
        <v>21</v>
      </c>
    </row>
    <row r="81" spans="1:24">
      <c r="A81" s="25" t="s">
        <v>1201</v>
      </c>
      <c r="B81" s="25" t="s">
        <v>228</v>
      </c>
      <c r="C81" s="25" t="s">
        <v>779</v>
      </c>
      <c r="D81" s="25" t="s">
        <v>780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29680</f>
        <v>29680</v>
      </c>
      <c r="L81" s="32" t="s">
        <v>1110</v>
      </c>
      <c r="M81" s="31">
        <f>29750</f>
        <v>29750</v>
      </c>
      <c r="N81" s="32" t="s">
        <v>1110</v>
      </c>
      <c r="O81" s="31">
        <f>24880</f>
        <v>24880</v>
      </c>
      <c r="P81" s="32" t="s">
        <v>674</v>
      </c>
      <c r="Q81" s="31">
        <f>28380</f>
        <v>28380</v>
      </c>
      <c r="R81" s="32" t="s">
        <v>777</v>
      </c>
      <c r="S81" s="33">
        <f>28211.9</f>
        <v>28211.9</v>
      </c>
      <c r="T81" s="30">
        <f>1305484</f>
        <v>1305484</v>
      </c>
      <c r="U81" s="30">
        <f>23580</f>
        <v>23580</v>
      </c>
      <c r="V81" s="30">
        <f>36174394935</f>
        <v>36174394935</v>
      </c>
      <c r="W81" s="30">
        <f>680319345</f>
        <v>680319345</v>
      </c>
      <c r="X81" s="34">
        <f>21</f>
        <v>21</v>
      </c>
    </row>
    <row r="82" spans="1:24">
      <c r="A82" s="25" t="s">
        <v>1201</v>
      </c>
      <c r="B82" s="25" t="s">
        <v>229</v>
      </c>
      <c r="C82" s="25" t="s">
        <v>781</v>
      </c>
      <c r="D82" s="25" t="s">
        <v>782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</v>
      </c>
      <c r="K82" s="31">
        <f>60580</f>
        <v>60580</v>
      </c>
      <c r="L82" s="32" t="s">
        <v>1110</v>
      </c>
      <c r="M82" s="31">
        <f>60640</f>
        <v>60640</v>
      </c>
      <c r="N82" s="32" t="s">
        <v>1110</v>
      </c>
      <c r="O82" s="31">
        <f>54300</f>
        <v>54300</v>
      </c>
      <c r="P82" s="32" t="s">
        <v>674</v>
      </c>
      <c r="Q82" s="31">
        <f>58310</f>
        <v>58310</v>
      </c>
      <c r="R82" s="32" t="s">
        <v>777</v>
      </c>
      <c r="S82" s="33">
        <f>57468.1</f>
        <v>57468.1</v>
      </c>
      <c r="T82" s="30">
        <f>62827</f>
        <v>62827</v>
      </c>
      <c r="U82" s="30">
        <f>3000</f>
        <v>3000</v>
      </c>
      <c r="V82" s="30">
        <f>3589190225</f>
        <v>3589190225</v>
      </c>
      <c r="W82" s="30">
        <f>172354425</f>
        <v>172354425</v>
      </c>
      <c r="X82" s="34">
        <f>21</f>
        <v>21</v>
      </c>
    </row>
    <row r="83" spans="1:24">
      <c r="A83" s="25" t="s">
        <v>1201</v>
      </c>
      <c r="B83" s="25" t="s">
        <v>230</v>
      </c>
      <c r="C83" s="25" t="s">
        <v>231</v>
      </c>
      <c r="D83" s="25" t="s">
        <v>232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9065</f>
        <v>9065</v>
      </c>
      <c r="L83" s="32" t="s">
        <v>1110</v>
      </c>
      <c r="M83" s="31">
        <f>9119</f>
        <v>9119</v>
      </c>
      <c r="N83" s="32" t="s">
        <v>1110</v>
      </c>
      <c r="O83" s="31">
        <f>8038</f>
        <v>8038</v>
      </c>
      <c r="P83" s="32" t="s">
        <v>674</v>
      </c>
      <c r="Q83" s="31">
        <f>8867</f>
        <v>8867</v>
      </c>
      <c r="R83" s="32" t="s">
        <v>777</v>
      </c>
      <c r="S83" s="33">
        <f>8740.52</f>
        <v>8740.52</v>
      </c>
      <c r="T83" s="30">
        <f>1617400</f>
        <v>1617400</v>
      </c>
      <c r="U83" s="30">
        <f>160630</f>
        <v>160630</v>
      </c>
      <c r="V83" s="30">
        <f>13946741846</f>
        <v>13946741846</v>
      </c>
      <c r="W83" s="30">
        <f>1423743286</f>
        <v>1423743286</v>
      </c>
      <c r="X83" s="34">
        <f>21</f>
        <v>21</v>
      </c>
    </row>
    <row r="84" spans="1:24">
      <c r="A84" s="25" t="s">
        <v>1201</v>
      </c>
      <c r="B84" s="25" t="s">
        <v>233</v>
      </c>
      <c r="C84" s="25" t="s">
        <v>234</v>
      </c>
      <c r="D84" s="25" t="s">
        <v>235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5590</f>
        <v>5590</v>
      </c>
      <c r="L84" s="32" t="s">
        <v>1110</v>
      </c>
      <c r="M84" s="31">
        <f>5593</f>
        <v>5593</v>
      </c>
      <c r="N84" s="32" t="s">
        <v>1110</v>
      </c>
      <c r="O84" s="31">
        <f>4950</f>
        <v>4950</v>
      </c>
      <c r="P84" s="32" t="s">
        <v>674</v>
      </c>
      <c r="Q84" s="31">
        <f>5488</f>
        <v>5488</v>
      </c>
      <c r="R84" s="32" t="s">
        <v>777</v>
      </c>
      <c r="S84" s="33">
        <f>5385.33</f>
        <v>5385.33</v>
      </c>
      <c r="T84" s="30">
        <f>167310</f>
        <v>167310</v>
      </c>
      <c r="U84" s="30">
        <f>13190</f>
        <v>13190</v>
      </c>
      <c r="V84" s="30">
        <f>884666652</f>
        <v>884666652</v>
      </c>
      <c r="W84" s="30">
        <f>67888882</f>
        <v>67888882</v>
      </c>
      <c r="X84" s="34">
        <f>21</f>
        <v>21</v>
      </c>
    </row>
    <row r="85" spans="1:24">
      <c r="A85" s="25" t="s">
        <v>1201</v>
      </c>
      <c r="B85" s="25" t="s">
        <v>236</v>
      </c>
      <c r="C85" s="25" t="s">
        <v>854</v>
      </c>
      <c r="D85" s="25" t="s">
        <v>855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5067</f>
        <v>5067</v>
      </c>
      <c r="L85" s="32" t="s">
        <v>1110</v>
      </c>
      <c r="M85" s="31">
        <f>5253</f>
        <v>5253</v>
      </c>
      <c r="N85" s="32" t="s">
        <v>777</v>
      </c>
      <c r="O85" s="31">
        <f>4150</f>
        <v>4150</v>
      </c>
      <c r="P85" s="32" t="s">
        <v>674</v>
      </c>
      <c r="Q85" s="31">
        <f>5132</f>
        <v>5132</v>
      </c>
      <c r="R85" s="32" t="s">
        <v>777</v>
      </c>
      <c r="S85" s="33">
        <f>4936.05</f>
        <v>4936.05</v>
      </c>
      <c r="T85" s="30">
        <f>6380</f>
        <v>6380</v>
      </c>
      <c r="U85" s="30" t="str">
        <f>"－"</f>
        <v>－</v>
      </c>
      <c r="V85" s="30">
        <f>31885880</f>
        <v>31885880</v>
      </c>
      <c r="W85" s="30" t="str">
        <f>"－"</f>
        <v>－</v>
      </c>
      <c r="X85" s="34">
        <f>20</f>
        <v>20</v>
      </c>
    </row>
    <row r="86" spans="1:24">
      <c r="A86" s="25" t="s">
        <v>1201</v>
      </c>
      <c r="B86" s="25" t="s">
        <v>241</v>
      </c>
      <c r="C86" s="25" t="s">
        <v>242</v>
      </c>
      <c r="D86" s="25" t="s">
        <v>243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4658</f>
        <v>4658</v>
      </c>
      <c r="L86" s="32" t="s">
        <v>1110</v>
      </c>
      <c r="M86" s="31">
        <f>4658</f>
        <v>4658</v>
      </c>
      <c r="N86" s="32" t="s">
        <v>1110</v>
      </c>
      <c r="O86" s="31">
        <f>4111</f>
        <v>4111</v>
      </c>
      <c r="P86" s="32" t="s">
        <v>674</v>
      </c>
      <c r="Q86" s="31">
        <f>4555</f>
        <v>4555</v>
      </c>
      <c r="R86" s="32" t="s">
        <v>777</v>
      </c>
      <c r="S86" s="33">
        <f>4471.62</f>
        <v>4471.62</v>
      </c>
      <c r="T86" s="30">
        <f>95830</f>
        <v>95830</v>
      </c>
      <c r="U86" s="30" t="str">
        <f>"－"</f>
        <v>－</v>
      </c>
      <c r="V86" s="30">
        <f>420482120</f>
        <v>420482120</v>
      </c>
      <c r="W86" s="30" t="str">
        <f>"－"</f>
        <v>－</v>
      </c>
      <c r="X86" s="34">
        <f>21</f>
        <v>21</v>
      </c>
    </row>
    <row r="87" spans="1:24">
      <c r="A87" s="25" t="s">
        <v>1201</v>
      </c>
      <c r="B87" s="25" t="s">
        <v>244</v>
      </c>
      <c r="C87" s="25" t="s">
        <v>971</v>
      </c>
      <c r="D87" s="25" t="s">
        <v>245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10</v>
      </c>
      <c r="K87" s="31">
        <f>2285</f>
        <v>2285</v>
      </c>
      <c r="L87" s="32" t="s">
        <v>1110</v>
      </c>
      <c r="M87" s="31">
        <f>2294</f>
        <v>2294</v>
      </c>
      <c r="N87" s="32" t="s">
        <v>1116</v>
      </c>
      <c r="O87" s="31">
        <f>1976.5</f>
        <v>1976.5</v>
      </c>
      <c r="P87" s="32" t="s">
        <v>674</v>
      </c>
      <c r="Q87" s="31">
        <f>2259</f>
        <v>2259</v>
      </c>
      <c r="R87" s="32" t="s">
        <v>777</v>
      </c>
      <c r="S87" s="33">
        <f>2192.19</f>
        <v>2192.19</v>
      </c>
      <c r="T87" s="30">
        <f>74970</f>
        <v>74970</v>
      </c>
      <c r="U87" s="30">
        <f>30</f>
        <v>30</v>
      </c>
      <c r="V87" s="30">
        <f>160189965</f>
        <v>160189965</v>
      </c>
      <c r="W87" s="30">
        <f>66000</f>
        <v>66000</v>
      </c>
      <c r="X87" s="34">
        <f>21</f>
        <v>21</v>
      </c>
    </row>
    <row r="88" spans="1:24">
      <c r="A88" s="25" t="s">
        <v>1201</v>
      </c>
      <c r="B88" s="25" t="s">
        <v>246</v>
      </c>
      <c r="C88" s="25" t="s">
        <v>247</v>
      </c>
      <c r="D88" s="25" t="s">
        <v>248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82980</f>
        <v>82980</v>
      </c>
      <c r="L88" s="32" t="s">
        <v>1110</v>
      </c>
      <c r="M88" s="31">
        <f>83130</f>
        <v>83130</v>
      </c>
      <c r="N88" s="32" t="s">
        <v>1110</v>
      </c>
      <c r="O88" s="31">
        <f>73650</f>
        <v>73650</v>
      </c>
      <c r="P88" s="32" t="s">
        <v>674</v>
      </c>
      <c r="Q88" s="31">
        <f>81050</f>
        <v>81050</v>
      </c>
      <c r="R88" s="32" t="s">
        <v>777</v>
      </c>
      <c r="S88" s="33">
        <f>79940</f>
        <v>79940</v>
      </c>
      <c r="T88" s="30">
        <f>92463</f>
        <v>92463</v>
      </c>
      <c r="U88" s="30" t="str">
        <f>"－"</f>
        <v>－</v>
      </c>
      <c r="V88" s="30">
        <f>7290343820</f>
        <v>7290343820</v>
      </c>
      <c r="W88" s="30" t="str">
        <f>"－"</f>
        <v>－</v>
      </c>
      <c r="X88" s="34">
        <f>21</f>
        <v>21</v>
      </c>
    </row>
    <row r="89" spans="1:24">
      <c r="A89" s="25" t="s">
        <v>1201</v>
      </c>
      <c r="B89" s="25" t="s">
        <v>249</v>
      </c>
      <c r="C89" s="25" t="s">
        <v>250</v>
      </c>
      <c r="D89" s="25" t="s">
        <v>251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3260</f>
        <v>3260</v>
      </c>
      <c r="L89" s="32" t="s">
        <v>1110</v>
      </c>
      <c r="M89" s="31">
        <f>3260</f>
        <v>3260</v>
      </c>
      <c r="N89" s="32" t="s">
        <v>1110</v>
      </c>
      <c r="O89" s="31">
        <f>3030</f>
        <v>3030</v>
      </c>
      <c r="P89" s="32" t="s">
        <v>674</v>
      </c>
      <c r="Q89" s="31">
        <f>3250</f>
        <v>3250</v>
      </c>
      <c r="R89" s="32" t="s">
        <v>777</v>
      </c>
      <c r="S89" s="33">
        <f>3194.52</f>
        <v>3194.52</v>
      </c>
      <c r="T89" s="30">
        <f>6917</f>
        <v>6917</v>
      </c>
      <c r="U89" s="30" t="str">
        <f>"－"</f>
        <v>－</v>
      </c>
      <c r="V89" s="30">
        <f>22143175</f>
        <v>22143175</v>
      </c>
      <c r="W89" s="30" t="str">
        <f>"－"</f>
        <v>－</v>
      </c>
      <c r="X89" s="34">
        <f>21</f>
        <v>21</v>
      </c>
    </row>
    <row r="90" spans="1:24">
      <c r="A90" s="25" t="s">
        <v>1201</v>
      </c>
      <c r="B90" s="25" t="s">
        <v>252</v>
      </c>
      <c r="C90" s="25" t="s">
        <v>253</v>
      </c>
      <c r="D90" s="25" t="s">
        <v>254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5290</f>
        <v>5290</v>
      </c>
      <c r="L90" s="32" t="s">
        <v>1110</v>
      </c>
      <c r="M90" s="31">
        <f>5310</f>
        <v>5310</v>
      </c>
      <c r="N90" s="32" t="s">
        <v>676</v>
      </c>
      <c r="O90" s="31">
        <f>4695</f>
        <v>4695</v>
      </c>
      <c r="P90" s="32" t="s">
        <v>674</v>
      </c>
      <c r="Q90" s="31">
        <f>5290</f>
        <v>5290</v>
      </c>
      <c r="R90" s="32" t="s">
        <v>777</v>
      </c>
      <c r="S90" s="33">
        <f>5080.71</f>
        <v>5080.71</v>
      </c>
      <c r="T90" s="30">
        <f>6202</f>
        <v>6202</v>
      </c>
      <c r="U90" s="30" t="str">
        <f>"－"</f>
        <v>－</v>
      </c>
      <c r="V90" s="30">
        <f>31192220</f>
        <v>31192220</v>
      </c>
      <c r="W90" s="30" t="str">
        <f>"－"</f>
        <v>－</v>
      </c>
      <c r="X90" s="34">
        <f>21</f>
        <v>21</v>
      </c>
    </row>
    <row r="91" spans="1:24">
      <c r="A91" s="25" t="s">
        <v>1201</v>
      </c>
      <c r="B91" s="25" t="s">
        <v>255</v>
      </c>
      <c r="C91" s="25" t="s">
        <v>856</v>
      </c>
      <c r="D91" s="25" t="s">
        <v>857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2201</f>
        <v>2201</v>
      </c>
      <c r="L91" s="32" t="s">
        <v>1110</v>
      </c>
      <c r="M91" s="31">
        <f>2431</f>
        <v>2431</v>
      </c>
      <c r="N91" s="32" t="s">
        <v>1111</v>
      </c>
      <c r="O91" s="31">
        <f>1610</f>
        <v>1610</v>
      </c>
      <c r="P91" s="32" t="s">
        <v>674</v>
      </c>
      <c r="Q91" s="31">
        <f>2357</f>
        <v>2357</v>
      </c>
      <c r="R91" s="32" t="s">
        <v>777</v>
      </c>
      <c r="S91" s="33">
        <f>2098.1</f>
        <v>2098.1</v>
      </c>
      <c r="T91" s="30">
        <f>3142321</f>
        <v>3142321</v>
      </c>
      <c r="U91" s="30">
        <f>161027</f>
        <v>161027</v>
      </c>
      <c r="V91" s="30">
        <f>6519799426</f>
        <v>6519799426</v>
      </c>
      <c r="W91" s="30">
        <f>378440304</f>
        <v>378440304</v>
      </c>
      <c r="X91" s="34">
        <f>21</f>
        <v>21</v>
      </c>
    </row>
    <row r="92" spans="1:24">
      <c r="A92" s="25" t="s">
        <v>1201</v>
      </c>
      <c r="B92" s="25" t="s">
        <v>256</v>
      </c>
      <c r="C92" s="25" t="s">
        <v>257</v>
      </c>
      <c r="D92" s="25" t="s">
        <v>258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</v>
      </c>
      <c r="K92" s="31">
        <f>48570</f>
        <v>48570</v>
      </c>
      <c r="L92" s="32" t="s">
        <v>1110</v>
      </c>
      <c r="M92" s="31">
        <f>49470</f>
        <v>49470</v>
      </c>
      <c r="N92" s="32" t="s">
        <v>760</v>
      </c>
      <c r="O92" s="31">
        <f>46150</f>
        <v>46150</v>
      </c>
      <c r="P92" s="32" t="s">
        <v>674</v>
      </c>
      <c r="Q92" s="31">
        <f>48300</f>
        <v>48300</v>
      </c>
      <c r="R92" s="32" t="s">
        <v>777</v>
      </c>
      <c r="S92" s="33">
        <f>48272.38</f>
        <v>48272.38</v>
      </c>
      <c r="T92" s="30">
        <f>16490</f>
        <v>16490</v>
      </c>
      <c r="U92" s="30">
        <f>219</f>
        <v>219</v>
      </c>
      <c r="V92" s="30">
        <f>794473441</f>
        <v>794473441</v>
      </c>
      <c r="W92" s="30">
        <f>10660701</f>
        <v>10660701</v>
      </c>
      <c r="X92" s="34">
        <f>21</f>
        <v>21</v>
      </c>
    </row>
    <row r="93" spans="1:24">
      <c r="A93" s="25" t="s">
        <v>1201</v>
      </c>
      <c r="B93" s="25" t="s">
        <v>259</v>
      </c>
      <c r="C93" s="25" t="s">
        <v>260</v>
      </c>
      <c r="D93" s="25" t="s">
        <v>261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502</f>
        <v>502</v>
      </c>
      <c r="L93" s="32" t="s">
        <v>1110</v>
      </c>
      <c r="M93" s="31">
        <f>502</f>
        <v>502</v>
      </c>
      <c r="N93" s="32" t="s">
        <v>1110</v>
      </c>
      <c r="O93" s="31">
        <f>336.6</f>
        <v>336.6</v>
      </c>
      <c r="P93" s="32" t="s">
        <v>674</v>
      </c>
      <c r="Q93" s="31">
        <f>455.7</f>
        <v>455.7</v>
      </c>
      <c r="R93" s="32" t="s">
        <v>777</v>
      </c>
      <c r="S93" s="33">
        <f>422.39</f>
        <v>422.39</v>
      </c>
      <c r="T93" s="30">
        <f>156436810</f>
        <v>156436810</v>
      </c>
      <c r="U93" s="30">
        <f>26260</f>
        <v>26260</v>
      </c>
      <c r="V93" s="30">
        <f>64794268187</f>
        <v>64794268187</v>
      </c>
      <c r="W93" s="30">
        <f>10242399</f>
        <v>10242399</v>
      </c>
      <c r="X93" s="34">
        <f>21</f>
        <v>21</v>
      </c>
    </row>
    <row r="94" spans="1:24">
      <c r="A94" s="25" t="s">
        <v>1201</v>
      </c>
      <c r="B94" s="25" t="s">
        <v>262</v>
      </c>
      <c r="C94" s="25" t="s">
        <v>263</v>
      </c>
      <c r="D94" s="25" t="s">
        <v>264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1300</f>
        <v>1300</v>
      </c>
      <c r="L94" s="32" t="s">
        <v>1110</v>
      </c>
      <c r="M94" s="31">
        <f>1637</f>
        <v>1637</v>
      </c>
      <c r="N94" s="32" t="s">
        <v>674</v>
      </c>
      <c r="O94" s="31">
        <f>1270.5</f>
        <v>1270.5</v>
      </c>
      <c r="P94" s="32" t="s">
        <v>777</v>
      </c>
      <c r="Q94" s="31">
        <f>1274.5</f>
        <v>1274.5</v>
      </c>
      <c r="R94" s="32" t="s">
        <v>777</v>
      </c>
      <c r="S94" s="33">
        <f>1343.12</f>
        <v>1343.12</v>
      </c>
      <c r="T94" s="30">
        <f>3876240</f>
        <v>3876240</v>
      </c>
      <c r="U94" s="30">
        <f>654410</f>
        <v>654410</v>
      </c>
      <c r="V94" s="30">
        <f>5430573330</f>
        <v>5430573330</v>
      </c>
      <c r="W94" s="30">
        <f>915961610</f>
        <v>915961610</v>
      </c>
      <c r="X94" s="34">
        <f>21</f>
        <v>21</v>
      </c>
    </row>
    <row r="95" spans="1:24">
      <c r="A95" s="25" t="s">
        <v>1201</v>
      </c>
      <c r="B95" s="25" t="s">
        <v>265</v>
      </c>
      <c r="C95" s="25" t="s">
        <v>266</v>
      </c>
      <c r="D95" s="25" t="s">
        <v>267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27700</f>
        <v>27700</v>
      </c>
      <c r="L95" s="32" t="s">
        <v>1110</v>
      </c>
      <c r="M95" s="31">
        <f>27750</f>
        <v>27750</v>
      </c>
      <c r="N95" s="32" t="s">
        <v>1110</v>
      </c>
      <c r="O95" s="31">
        <f>18885</f>
        <v>18885</v>
      </c>
      <c r="P95" s="32" t="s">
        <v>674</v>
      </c>
      <c r="Q95" s="31">
        <f>26530</f>
        <v>26530</v>
      </c>
      <c r="R95" s="32" t="s">
        <v>777</v>
      </c>
      <c r="S95" s="33">
        <f>24413.1</f>
        <v>24413.1</v>
      </c>
      <c r="T95" s="30">
        <f>182877451</f>
        <v>182877451</v>
      </c>
      <c r="U95" s="30">
        <f>846709</f>
        <v>846709</v>
      </c>
      <c r="V95" s="30">
        <f>4357685074812</f>
        <v>4357685074812</v>
      </c>
      <c r="W95" s="30">
        <f>21078099322</f>
        <v>21078099322</v>
      </c>
      <c r="X95" s="34">
        <f>21</f>
        <v>21</v>
      </c>
    </row>
    <row r="96" spans="1:24">
      <c r="A96" s="25" t="s">
        <v>1201</v>
      </c>
      <c r="B96" s="25" t="s">
        <v>268</v>
      </c>
      <c r="C96" s="25" t="s">
        <v>269</v>
      </c>
      <c r="D96" s="25" t="s">
        <v>270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622</f>
        <v>622</v>
      </c>
      <c r="L96" s="32" t="s">
        <v>1110</v>
      </c>
      <c r="M96" s="31">
        <f>767</f>
        <v>767</v>
      </c>
      <c r="N96" s="32" t="s">
        <v>674</v>
      </c>
      <c r="O96" s="31">
        <f>600</f>
        <v>600</v>
      </c>
      <c r="P96" s="32" t="s">
        <v>777</v>
      </c>
      <c r="Q96" s="31">
        <f>600</f>
        <v>600</v>
      </c>
      <c r="R96" s="32" t="s">
        <v>777</v>
      </c>
      <c r="S96" s="33">
        <f>635.33</f>
        <v>635.33000000000004</v>
      </c>
      <c r="T96" s="30">
        <f>63576169</f>
        <v>63576169</v>
      </c>
      <c r="U96" s="30">
        <f>5330634</f>
        <v>5330634</v>
      </c>
      <c r="V96" s="30">
        <f>42323669146</f>
        <v>42323669146</v>
      </c>
      <c r="W96" s="30">
        <f>3704356722</f>
        <v>3704356722</v>
      </c>
      <c r="X96" s="34">
        <f>21</f>
        <v>21</v>
      </c>
    </row>
    <row r="97" spans="1:24">
      <c r="A97" s="25" t="s">
        <v>1201</v>
      </c>
      <c r="B97" s="25" t="s">
        <v>271</v>
      </c>
      <c r="C97" s="25" t="s">
        <v>272</v>
      </c>
      <c r="D97" s="25" t="s">
        <v>273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4031</f>
        <v>4031</v>
      </c>
      <c r="L97" s="32" t="s">
        <v>1110</v>
      </c>
      <c r="M97" s="31">
        <f>4229</f>
        <v>4229</v>
      </c>
      <c r="N97" s="32" t="s">
        <v>777</v>
      </c>
      <c r="O97" s="31">
        <f>3385</f>
        <v>3385</v>
      </c>
      <c r="P97" s="32" t="s">
        <v>674</v>
      </c>
      <c r="Q97" s="31">
        <f>4210</f>
        <v>4210</v>
      </c>
      <c r="R97" s="32" t="s">
        <v>777</v>
      </c>
      <c r="S97" s="33">
        <f>3875.9</f>
        <v>3875.9</v>
      </c>
      <c r="T97" s="30">
        <f>312010</f>
        <v>312010</v>
      </c>
      <c r="U97" s="30" t="str">
        <f>"－"</f>
        <v>－</v>
      </c>
      <c r="V97" s="30">
        <f>1192849160</f>
        <v>1192849160</v>
      </c>
      <c r="W97" s="30" t="str">
        <f>"－"</f>
        <v>－</v>
      </c>
      <c r="X97" s="34">
        <f>21</f>
        <v>21</v>
      </c>
    </row>
    <row r="98" spans="1:24">
      <c r="A98" s="25" t="s">
        <v>1201</v>
      </c>
      <c r="B98" s="25" t="s">
        <v>274</v>
      </c>
      <c r="C98" s="25" t="s">
        <v>275</v>
      </c>
      <c r="D98" s="25" t="s">
        <v>276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12150</f>
        <v>12150</v>
      </c>
      <c r="L98" s="32" t="s">
        <v>1110</v>
      </c>
      <c r="M98" s="31">
        <f>12375</f>
        <v>12375</v>
      </c>
      <c r="N98" s="32" t="s">
        <v>1116</v>
      </c>
      <c r="O98" s="31">
        <f>11130</f>
        <v>11130</v>
      </c>
      <c r="P98" s="32" t="s">
        <v>777</v>
      </c>
      <c r="Q98" s="31">
        <f>11130</f>
        <v>11130</v>
      </c>
      <c r="R98" s="32" t="s">
        <v>777</v>
      </c>
      <c r="S98" s="33">
        <f>11798.57</f>
        <v>11798.57</v>
      </c>
      <c r="T98" s="30">
        <f>31390</f>
        <v>31390</v>
      </c>
      <c r="U98" s="30">
        <f>40</f>
        <v>40</v>
      </c>
      <c r="V98" s="30">
        <f>372469950</f>
        <v>372469950</v>
      </c>
      <c r="W98" s="30">
        <f>480600</f>
        <v>480600</v>
      </c>
      <c r="X98" s="34">
        <f>21</f>
        <v>21</v>
      </c>
    </row>
    <row r="99" spans="1:24">
      <c r="A99" s="25" t="s">
        <v>1201</v>
      </c>
      <c r="B99" s="25" t="s">
        <v>277</v>
      </c>
      <c r="C99" s="25" t="s">
        <v>278</v>
      </c>
      <c r="D99" s="25" t="s">
        <v>972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38830</f>
        <v>38830</v>
      </c>
      <c r="L99" s="32" t="s">
        <v>1110</v>
      </c>
      <c r="M99" s="31">
        <f>38870</f>
        <v>38870</v>
      </c>
      <c r="N99" s="32" t="s">
        <v>1110</v>
      </c>
      <c r="O99" s="31">
        <f>30100</f>
        <v>30100</v>
      </c>
      <c r="P99" s="32" t="s">
        <v>674</v>
      </c>
      <c r="Q99" s="31">
        <f>37380</f>
        <v>37380</v>
      </c>
      <c r="R99" s="32" t="s">
        <v>777</v>
      </c>
      <c r="S99" s="33">
        <f>35937.62</f>
        <v>35937.620000000003</v>
      </c>
      <c r="T99" s="30">
        <f>365778</f>
        <v>365778</v>
      </c>
      <c r="U99" s="30">
        <f>146535</f>
        <v>146535</v>
      </c>
      <c r="V99" s="30">
        <f>12970578056</f>
        <v>12970578056</v>
      </c>
      <c r="W99" s="30">
        <f>5297767746</f>
        <v>5297767746</v>
      </c>
      <c r="X99" s="34">
        <f>21</f>
        <v>21</v>
      </c>
    </row>
    <row r="100" spans="1:24">
      <c r="A100" s="25" t="s">
        <v>1201</v>
      </c>
      <c r="B100" s="25" t="s">
        <v>279</v>
      </c>
      <c r="C100" s="25" t="s">
        <v>280</v>
      </c>
      <c r="D100" s="25" t="s">
        <v>281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3095</f>
        <v>3095</v>
      </c>
      <c r="L100" s="32" t="s">
        <v>1110</v>
      </c>
      <c r="M100" s="31">
        <f>3095</f>
        <v>3095</v>
      </c>
      <c r="N100" s="32" t="s">
        <v>1110</v>
      </c>
      <c r="O100" s="31">
        <f>2430</f>
        <v>2430</v>
      </c>
      <c r="P100" s="32" t="s">
        <v>674</v>
      </c>
      <c r="Q100" s="31">
        <f>3085</f>
        <v>3085</v>
      </c>
      <c r="R100" s="32" t="s">
        <v>777</v>
      </c>
      <c r="S100" s="33">
        <f>2932.43</f>
        <v>2932.43</v>
      </c>
      <c r="T100" s="30">
        <f>473355</f>
        <v>473355</v>
      </c>
      <c r="U100" s="30">
        <f>256550</f>
        <v>256550</v>
      </c>
      <c r="V100" s="30">
        <f>1334545678</f>
        <v>1334545678</v>
      </c>
      <c r="W100" s="30">
        <f>718758975</f>
        <v>718758975</v>
      </c>
      <c r="X100" s="34">
        <f>21</f>
        <v>21</v>
      </c>
    </row>
    <row r="101" spans="1:24">
      <c r="A101" s="25" t="s">
        <v>1201</v>
      </c>
      <c r="B101" s="25" t="s">
        <v>282</v>
      </c>
      <c r="C101" s="25" t="s">
        <v>283</v>
      </c>
      <c r="D101" s="25" t="s">
        <v>284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298.8</f>
        <v>298.8</v>
      </c>
      <c r="L101" s="32" t="s">
        <v>1110</v>
      </c>
      <c r="M101" s="31">
        <f>298.8</f>
        <v>298.8</v>
      </c>
      <c r="N101" s="32" t="s">
        <v>1110</v>
      </c>
      <c r="O101" s="31">
        <f>176</f>
        <v>176</v>
      </c>
      <c r="P101" s="32" t="s">
        <v>674</v>
      </c>
      <c r="Q101" s="31">
        <f>285</f>
        <v>285</v>
      </c>
      <c r="R101" s="32" t="s">
        <v>777</v>
      </c>
      <c r="S101" s="33">
        <f>261.25</f>
        <v>261.25</v>
      </c>
      <c r="T101" s="30">
        <f>820510630</f>
        <v>820510630</v>
      </c>
      <c r="U101" s="30">
        <f>2737480</f>
        <v>2737480</v>
      </c>
      <c r="V101" s="30">
        <f>208947141598</f>
        <v>208947141598</v>
      </c>
      <c r="W101" s="30">
        <f>701303514</f>
        <v>701303514</v>
      </c>
      <c r="X101" s="34">
        <f>21</f>
        <v>21</v>
      </c>
    </row>
    <row r="102" spans="1:24">
      <c r="A102" s="25" t="s">
        <v>1201</v>
      </c>
      <c r="B102" s="25" t="s">
        <v>285</v>
      </c>
      <c r="C102" s="25" t="s">
        <v>286</v>
      </c>
      <c r="D102" s="25" t="s">
        <v>287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1644.5</f>
        <v>1644.5</v>
      </c>
      <c r="L102" s="32" t="s">
        <v>1110</v>
      </c>
      <c r="M102" s="31">
        <f>2045</f>
        <v>2045</v>
      </c>
      <c r="N102" s="32" t="s">
        <v>674</v>
      </c>
      <c r="O102" s="31">
        <f>1593</f>
        <v>1593</v>
      </c>
      <c r="P102" s="32" t="s">
        <v>777</v>
      </c>
      <c r="Q102" s="31">
        <f>1596</f>
        <v>1596</v>
      </c>
      <c r="R102" s="32" t="s">
        <v>777</v>
      </c>
      <c r="S102" s="33">
        <f>1689.21</f>
        <v>1689.21</v>
      </c>
      <c r="T102" s="30">
        <f>14316310</f>
        <v>14316310</v>
      </c>
      <c r="U102" s="30">
        <f>242250</f>
        <v>242250</v>
      </c>
      <c r="V102" s="30">
        <f>25187750103</f>
        <v>25187750103</v>
      </c>
      <c r="W102" s="30">
        <f>414479928</f>
        <v>414479928</v>
      </c>
      <c r="X102" s="34">
        <f>21</f>
        <v>21</v>
      </c>
    </row>
    <row r="103" spans="1:24">
      <c r="A103" s="25" t="s">
        <v>1201</v>
      </c>
      <c r="B103" s="25" t="s">
        <v>288</v>
      </c>
      <c r="C103" s="25" t="s">
        <v>922</v>
      </c>
      <c r="D103" s="25" t="s">
        <v>923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1913</f>
        <v>1913</v>
      </c>
      <c r="L103" s="32" t="s">
        <v>1110</v>
      </c>
      <c r="M103" s="31">
        <f>1913</f>
        <v>1913</v>
      </c>
      <c r="N103" s="32" t="s">
        <v>1110</v>
      </c>
      <c r="O103" s="31">
        <f>1557</f>
        <v>1557</v>
      </c>
      <c r="P103" s="32" t="s">
        <v>674</v>
      </c>
      <c r="Q103" s="31">
        <f>1866</f>
        <v>1866</v>
      </c>
      <c r="R103" s="32" t="s">
        <v>777</v>
      </c>
      <c r="S103" s="33">
        <f>1777.55</f>
        <v>1777.55</v>
      </c>
      <c r="T103" s="30">
        <f>46020</f>
        <v>46020</v>
      </c>
      <c r="U103" s="30">
        <f>50</f>
        <v>50</v>
      </c>
      <c r="V103" s="30">
        <f>82975665</f>
        <v>82975665</v>
      </c>
      <c r="W103" s="30">
        <f>88215</f>
        <v>88215</v>
      </c>
      <c r="X103" s="34">
        <f>21</f>
        <v>21</v>
      </c>
    </row>
    <row r="104" spans="1:24">
      <c r="A104" s="25" t="s">
        <v>1201</v>
      </c>
      <c r="B104" s="25" t="s">
        <v>289</v>
      </c>
      <c r="C104" s="25" t="s">
        <v>290</v>
      </c>
      <c r="D104" s="25" t="s">
        <v>291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2230</f>
        <v>2230</v>
      </c>
      <c r="L104" s="32" t="s">
        <v>1110</v>
      </c>
      <c r="M104" s="31">
        <f>2230</f>
        <v>2230</v>
      </c>
      <c r="N104" s="32" t="s">
        <v>1110</v>
      </c>
      <c r="O104" s="31">
        <f>1875</f>
        <v>1875</v>
      </c>
      <c r="P104" s="32" t="s">
        <v>674</v>
      </c>
      <c r="Q104" s="31">
        <f>2164</f>
        <v>2164</v>
      </c>
      <c r="R104" s="32" t="s">
        <v>777</v>
      </c>
      <c r="S104" s="33">
        <f>2082.14</f>
        <v>2082.14</v>
      </c>
      <c r="T104" s="30">
        <f>3721</f>
        <v>3721</v>
      </c>
      <c r="U104" s="30" t="str">
        <f>"－"</f>
        <v>－</v>
      </c>
      <c r="V104" s="30">
        <f>7423476</f>
        <v>7423476</v>
      </c>
      <c r="W104" s="30" t="str">
        <f>"－"</f>
        <v>－</v>
      </c>
      <c r="X104" s="34">
        <f>21</f>
        <v>21</v>
      </c>
    </row>
    <row r="105" spans="1:24">
      <c r="A105" s="25" t="s">
        <v>1201</v>
      </c>
      <c r="B105" s="25" t="s">
        <v>292</v>
      </c>
      <c r="C105" s="25" t="s">
        <v>293</v>
      </c>
      <c r="D105" s="25" t="s">
        <v>294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25450</f>
        <v>25450</v>
      </c>
      <c r="L105" s="32" t="s">
        <v>1110</v>
      </c>
      <c r="M105" s="31">
        <f>25450</f>
        <v>25450</v>
      </c>
      <c r="N105" s="32" t="s">
        <v>1110</v>
      </c>
      <c r="O105" s="31">
        <f>20100</f>
        <v>20100</v>
      </c>
      <c r="P105" s="32" t="s">
        <v>674</v>
      </c>
      <c r="Q105" s="31">
        <f>25000</f>
        <v>25000</v>
      </c>
      <c r="R105" s="32" t="s">
        <v>777</v>
      </c>
      <c r="S105" s="33">
        <f>23969.05</f>
        <v>23969.05</v>
      </c>
      <c r="T105" s="30">
        <f>60123</f>
        <v>60123</v>
      </c>
      <c r="U105" s="30">
        <f>9380</f>
        <v>9380</v>
      </c>
      <c r="V105" s="30">
        <f>1403228939</f>
        <v>1403228939</v>
      </c>
      <c r="W105" s="30">
        <f>224518314</f>
        <v>224518314</v>
      </c>
      <c r="X105" s="34">
        <f>21</f>
        <v>21</v>
      </c>
    </row>
    <row r="106" spans="1:24">
      <c r="A106" s="25" t="s">
        <v>1201</v>
      </c>
      <c r="B106" s="25" t="s">
        <v>295</v>
      </c>
      <c r="C106" s="25" t="s">
        <v>296</v>
      </c>
      <c r="D106" s="25" t="s">
        <v>297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2355</f>
        <v>2355</v>
      </c>
      <c r="L106" s="32" t="s">
        <v>1110</v>
      </c>
      <c r="M106" s="31">
        <f>2355</f>
        <v>2355</v>
      </c>
      <c r="N106" s="32" t="s">
        <v>1110</v>
      </c>
      <c r="O106" s="31">
        <f>1850</f>
        <v>1850</v>
      </c>
      <c r="P106" s="32" t="s">
        <v>674</v>
      </c>
      <c r="Q106" s="31">
        <f>2283</f>
        <v>2283</v>
      </c>
      <c r="R106" s="32" t="s">
        <v>777</v>
      </c>
      <c r="S106" s="33">
        <f>2206.33</f>
        <v>2206.33</v>
      </c>
      <c r="T106" s="30">
        <f>75531</f>
        <v>75531</v>
      </c>
      <c r="U106" s="30">
        <f>9200</f>
        <v>9200</v>
      </c>
      <c r="V106" s="30">
        <f>160460485</f>
        <v>160460485</v>
      </c>
      <c r="W106" s="30">
        <f>20000800</f>
        <v>20000800</v>
      </c>
      <c r="X106" s="34">
        <f>21</f>
        <v>21</v>
      </c>
    </row>
    <row r="107" spans="1:24">
      <c r="A107" s="25" t="s">
        <v>1201</v>
      </c>
      <c r="B107" s="25" t="s">
        <v>298</v>
      </c>
      <c r="C107" s="25" t="s">
        <v>299</v>
      </c>
      <c r="D107" s="25" t="s">
        <v>300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25985</f>
        <v>25985</v>
      </c>
      <c r="L107" s="32" t="s">
        <v>1110</v>
      </c>
      <c r="M107" s="31">
        <f>25990</f>
        <v>25990</v>
      </c>
      <c r="N107" s="32" t="s">
        <v>1110</v>
      </c>
      <c r="O107" s="31">
        <f>20500</f>
        <v>20500</v>
      </c>
      <c r="P107" s="32" t="s">
        <v>674</v>
      </c>
      <c r="Q107" s="31">
        <f>25555</f>
        <v>25555</v>
      </c>
      <c r="R107" s="32" t="s">
        <v>777</v>
      </c>
      <c r="S107" s="33">
        <f>24710.71</f>
        <v>24710.71</v>
      </c>
      <c r="T107" s="30">
        <f>23431</f>
        <v>23431</v>
      </c>
      <c r="U107" s="30" t="str">
        <f>"－"</f>
        <v>－</v>
      </c>
      <c r="V107" s="30">
        <f>560007985</f>
        <v>560007985</v>
      </c>
      <c r="W107" s="30" t="str">
        <f>"－"</f>
        <v>－</v>
      </c>
      <c r="X107" s="34">
        <f>21</f>
        <v>21</v>
      </c>
    </row>
    <row r="108" spans="1:24">
      <c r="A108" s="25" t="s">
        <v>1201</v>
      </c>
      <c r="B108" s="25" t="s">
        <v>301</v>
      </c>
      <c r="C108" s="25" t="s">
        <v>302</v>
      </c>
      <c r="D108" s="25" t="s">
        <v>303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1754.5</f>
        <v>1754.5</v>
      </c>
      <c r="L108" s="32" t="s">
        <v>1110</v>
      </c>
      <c r="M108" s="31">
        <f>1840.5</f>
        <v>1840.5</v>
      </c>
      <c r="N108" s="32" t="s">
        <v>883</v>
      </c>
      <c r="O108" s="31">
        <f>1654.5</f>
        <v>1654.5</v>
      </c>
      <c r="P108" s="32" t="s">
        <v>674</v>
      </c>
      <c r="Q108" s="31">
        <f>1807</f>
        <v>1807</v>
      </c>
      <c r="R108" s="32" t="s">
        <v>777</v>
      </c>
      <c r="S108" s="33">
        <f>1769.36</f>
        <v>1769.36</v>
      </c>
      <c r="T108" s="30">
        <f>2957260</f>
        <v>2957260</v>
      </c>
      <c r="U108" s="30">
        <f>1263040</f>
        <v>1263040</v>
      </c>
      <c r="V108" s="30">
        <f>5145664722</f>
        <v>5145664722</v>
      </c>
      <c r="W108" s="30">
        <f>2197160232</f>
        <v>2197160232</v>
      </c>
      <c r="X108" s="34">
        <f>21</f>
        <v>21</v>
      </c>
    </row>
    <row r="109" spans="1:24">
      <c r="A109" s="25" t="s">
        <v>1201</v>
      </c>
      <c r="B109" s="25" t="s">
        <v>304</v>
      </c>
      <c r="C109" s="25" t="s">
        <v>305</v>
      </c>
      <c r="D109" s="25" t="s">
        <v>306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 t="str">
        <f>"－"</f>
        <v>－</v>
      </c>
      <c r="L109" s="32"/>
      <c r="M109" s="31" t="str">
        <f>"－"</f>
        <v>－</v>
      </c>
      <c r="N109" s="32"/>
      <c r="O109" s="31" t="str">
        <f>"－"</f>
        <v>－</v>
      </c>
      <c r="P109" s="32"/>
      <c r="Q109" s="31" t="str">
        <f>"－"</f>
        <v>－</v>
      </c>
      <c r="R109" s="32"/>
      <c r="S109" s="33" t="str">
        <f t="shared" ref="S109:X109" si="0">"－"</f>
        <v>－</v>
      </c>
      <c r="T109" s="30" t="str">
        <f t="shared" si="0"/>
        <v>－</v>
      </c>
      <c r="U109" s="30" t="str">
        <f t="shared" si="0"/>
        <v>－</v>
      </c>
      <c r="V109" s="30" t="str">
        <f t="shared" si="0"/>
        <v>－</v>
      </c>
      <c r="W109" s="30" t="str">
        <f t="shared" si="0"/>
        <v>－</v>
      </c>
      <c r="X109" s="34" t="str">
        <f t="shared" si="0"/>
        <v>－</v>
      </c>
    </row>
    <row r="110" spans="1:24">
      <c r="A110" s="25" t="s">
        <v>1201</v>
      </c>
      <c r="B110" s="25" t="s">
        <v>307</v>
      </c>
      <c r="C110" s="25" t="s">
        <v>308</v>
      </c>
      <c r="D110" s="25" t="s">
        <v>309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1786.5</f>
        <v>1786.5</v>
      </c>
      <c r="L110" s="32" t="s">
        <v>1110</v>
      </c>
      <c r="M110" s="31">
        <f>1858.5</f>
        <v>1858.5</v>
      </c>
      <c r="N110" s="32" t="s">
        <v>883</v>
      </c>
      <c r="O110" s="31">
        <f>1671.5</f>
        <v>1671.5</v>
      </c>
      <c r="P110" s="32" t="s">
        <v>674</v>
      </c>
      <c r="Q110" s="31">
        <f>1823</f>
        <v>1823</v>
      </c>
      <c r="R110" s="32" t="s">
        <v>777</v>
      </c>
      <c r="S110" s="33">
        <f>1786.57</f>
        <v>1786.57</v>
      </c>
      <c r="T110" s="30">
        <f>10182140</f>
        <v>10182140</v>
      </c>
      <c r="U110" s="30">
        <f>5272720</f>
        <v>5272720</v>
      </c>
      <c r="V110" s="30">
        <f>17926006476</f>
        <v>17926006476</v>
      </c>
      <c r="W110" s="30">
        <f>9285859981</f>
        <v>9285859981</v>
      </c>
      <c r="X110" s="34">
        <f>21</f>
        <v>21</v>
      </c>
    </row>
    <row r="111" spans="1:24">
      <c r="A111" s="25" t="s">
        <v>1201</v>
      </c>
      <c r="B111" s="25" t="s">
        <v>310</v>
      </c>
      <c r="C111" s="25" t="s">
        <v>924</v>
      </c>
      <c r="D111" s="25" t="s">
        <v>925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</v>
      </c>
      <c r="K111" s="31">
        <f>25985</f>
        <v>25985</v>
      </c>
      <c r="L111" s="32" t="s">
        <v>1110</v>
      </c>
      <c r="M111" s="31">
        <f>26550</f>
        <v>26550</v>
      </c>
      <c r="N111" s="32" t="s">
        <v>1124</v>
      </c>
      <c r="O111" s="31">
        <f>20200</f>
        <v>20200</v>
      </c>
      <c r="P111" s="32" t="s">
        <v>674</v>
      </c>
      <c r="Q111" s="31">
        <f>25250</f>
        <v>25250</v>
      </c>
      <c r="R111" s="32" t="s">
        <v>777</v>
      </c>
      <c r="S111" s="33">
        <f>24330.71</f>
        <v>24330.71</v>
      </c>
      <c r="T111" s="30">
        <f>19316</f>
        <v>19316</v>
      </c>
      <c r="U111" s="30">
        <f>201</f>
        <v>201</v>
      </c>
      <c r="V111" s="30">
        <f>421752159</f>
        <v>421752159</v>
      </c>
      <c r="W111" s="30">
        <f>4649044</f>
        <v>4649044</v>
      </c>
      <c r="X111" s="34">
        <f>21</f>
        <v>21</v>
      </c>
    </row>
    <row r="112" spans="1:24">
      <c r="A112" s="25" t="s">
        <v>1201</v>
      </c>
      <c r="B112" s="25" t="s">
        <v>1143</v>
      </c>
      <c r="C112" s="25" t="s">
        <v>1142</v>
      </c>
      <c r="D112" s="25" t="s">
        <v>1141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</v>
      </c>
      <c r="K112" s="31">
        <f>541.4</f>
        <v>541.4</v>
      </c>
      <c r="L112" s="32" t="s">
        <v>1110</v>
      </c>
      <c r="M112" s="31">
        <f>541.4</f>
        <v>541.4</v>
      </c>
      <c r="N112" s="32" t="s">
        <v>1110</v>
      </c>
      <c r="O112" s="31">
        <f>445</f>
        <v>445</v>
      </c>
      <c r="P112" s="32" t="s">
        <v>674</v>
      </c>
      <c r="Q112" s="31">
        <f>527.8</f>
        <v>527.79999999999995</v>
      </c>
      <c r="R112" s="32" t="s">
        <v>777</v>
      </c>
      <c r="S112" s="33">
        <f>505.35</f>
        <v>505.35</v>
      </c>
      <c r="T112" s="30">
        <f>1626780</f>
        <v>1626780</v>
      </c>
      <c r="U112" s="30">
        <f>61000</f>
        <v>61000</v>
      </c>
      <c r="V112" s="30">
        <f>775807103</f>
        <v>775807103</v>
      </c>
      <c r="W112" s="30">
        <f>30337435</f>
        <v>30337435</v>
      </c>
      <c r="X112" s="34">
        <f>21</f>
        <v>21</v>
      </c>
    </row>
    <row r="113" spans="1:24">
      <c r="A113" s="25" t="s">
        <v>1201</v>
      </c>
      <c r="B113" s="25" t="s">
        <v>311</v>
      </c>
      <c r="C113" s="25" t="s">
        <v>312</v>
      </c>
      <c r="D113" s="25" t="s">
        <v>313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100</v>
      </c>
      <c r="K113" s="31">
        <f>367.4</f>
        <v>367.4</v>
      </c>
      <c r="L113" s="32" t="s">
        <v>1110</v>
      </c>
      <c r="M113" s="31">
        <f>369.5</f>
        <v>369.5</v>
      </c>
      <c r="N113" s="32" t="s">
        <v>1110</v>
      </c>
      <c r="O113" s="31">
        <f>251</f>
        <v>251</v>
      </c>
      <c r="P113" s="32" t="s">
        <v>674</v>
      </c>
      <c r="Q113" s="31">
        <f>323.6</f>
        <v>323.60000000000002</v>
      </c>
      <c r="R113" s="32" t="s">
        <v>777</v>
      </c>
      <c r="S113" s="33">
        <f>317.47</f>
        <v>317.47000000000003</v>
      </c>
      <c r="T113" s="30">
        <f>129462200</f>
        <v>129462200</v>
      </c>
      <c r="U113" s="30">
        <f>11205100</f>
        <v>11205100</v>
      </c>
      <c r="V113" s="30">
        <f>40561596907</f>
        <v>40561596907</v>
      </c>
      <c r="W113" s="30">
        <f>3468364807</f>
        <v>3468364807</v>
      </c>
      <c r="X113" s="34">
        <f>21</f>
        <v>21</v>
      </c>
    </row>
    <row r="114" spans="1:24">
      <c r="A114" s="25" t="s">
        <v>1201</v>
      </c>
      <c r="B114" s="25" t="s">
        <v>314</v>
      </c>
      <c r="C114" s="25" t="s">
        <v>315</v>
      </c>
      <c r="D114" s="25" t="s">
        <v>316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39380</f>
        <v>39380</v>
      </c>
      <c r="L114" s="32" t="s">
        <v>1110</v>
      </c>
      <c r="M114" s="31">
        <f>39380</f>
        <v>39380</v>
      </c>
      <c r="N114" s="32" t="s">
        <v>1110</v>
      </c>
      <c r="O114" s="31">
        <f>33750</f>
        <v>33750</v>
      </c>
      <c r="P114" s="32" t="s">
        <v>674</v>
      </c>
      <c r="Q114" s="31">
        <f>37610</f>
        <v>37610</v>
      </c>
      <c r="R114" s="32" t="s">
        <v>777</v>
      </c>
      <c r="S114" s="33">
        <f>36695.71</f>
        <v>36695.71</v>
      </c>
      <c r="T114" s="30">
        <f>4418</f>
        <v>4418</v>
      </c>
      <c r="U114" s="30">
        <f>5</f>
        <v>5</v>
      </c>
      <c r="V114" s="30">
        <f>162132630</f>
        <v>162132630</v>
      </c>
      <c r="W114" s="30">
        <f>183240</f>
        <v>183240</v>
      </c>
      <c r="X114" s="34">
        <f>21</f>
        <v>21</v>
      </c>
    </row>
    <row r="115" spans="1:24">
      <c r="A115" s="25" t="s">
        <v>1201</v>
      </c>
      <c r="B115" s="25" t="s">
        <v>317</v>
      </c>
      <c r="C115" s="25" t="s">
        <v>318</v>
      </c>
      <c r="D115" s="25" t="s">
        <v>319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22435</f>
        <v>22435</v>
      </c>
      <c r="L115" s="32" t="s">
        <v>1110</v>
      </c>
      <c r="M115" s="31">
        <f>22435</f>
        <v>22435</v>
      </c>
      <c r="N115" s="32" t="s">
        <v>1110</v>
      </c>
      <c r="O115" s="31">
        <f>15100</f>
        <v>15100</v>
      </c>
      <c r="P115" s="32" t="s">
        <v>674</v>
      </c>
      <c r="Q115" s="31">
        <f>21740</f>
        <v>21740</v>
      </c>
      <c r="R115" s="32" t="s">
        <v>777</v>
      </c>
      <c r="S115" s="33">
        <f>20738.81</f>
        <v>20738.810000000001</v>
      </c>
      <c r="T115" s="30">
        <f>11430</f>
        <v>11430</v>
      </c>
      <c r="U115" s="30">
        <f>67</f>
        <v>67</v>
      </c>
      <c r="V115" s="30">
        <f>232032956</f>
        <v>232032956</v>
      </c>
      <c r="W115" s="30">
        <f>1431081</f>
        <v>1431081</v>
      </c>
      <c r="X115" s="34">
        <f>21</f>
        <v>21</v>
      </c>
    </row>
    <row r="116" spans="1:24">
      <c r="A116" s="25" t="s">
        <v>1201</v>
      </c>
      <c r="B116" s="25" t="s">
        <v>320</v>
      </c>
      <c r="C116" s="25" t="s">
        <v>321</v>
      </c>
      <c r="D116" s="25" t="s">
        <v>322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31300</f>
        <v>31300</v>
      </c>
      <c r="L116" s="32" t="s">
        <v>1110</v>
      </c>
      <c r="M116" s="31">
        <f>31300</f>
        <v>31300</v>
      </c>
      <c r="N116" s="32" t="s">
        <v>1110</v>
      </c>
      <c r="O116" s="31">
        <f>24980</f>
        <v>24980</v>
      </c>
      <c r="P116" s="32" t="s">
        <v>674</v>
      </c>
      <c r="Q116" s="31">
        <f>29905</f>
        <v>29905</v>
      </c>
      <c r="R116" s="32" t="s">
        <v>777</v>
      </c>
      <c r="S116" s="33">
        <f>29046.67</f>
        <v>29046.67</v>
      </c>
      <c r="T116" s="30">
        <f>3852</f>
        <v>3852</v>
      </c>
      <c r="U116" s="30" t="str">
        <f>"－"</f>
        <v>－</v>
      </c>
      <c r="V116" s="30">
        <f>109710635</f>
        <v>109710635</v>
      </c>
      <c r="W116" s="30" t="str">
        <f>"－"</f>
        <v>－</v>
      </c>
      <c r="X116" s="34">
        <f>21</f>
        <v>21</v>
      </c>
    </row>
    <row r="117" spans="1:24">
      <c r="A117" s="25" t="s">
        <v>1201</v>
      </c>
      <c r="B117" s="25" t="s">
        <v>323</v>
      </c>
      <c r="C117" s="25" t="s">
        <v>324</v>
      </c>
      <c r="D117" s="25" t="s">
        <v>325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31940</f>
        <v>31940</v>
      </c>
      <c r="L117" s="32" t="s">
        <v>1110</v>
      </c>
      <c r="M117" s="31">
        <f>31940</f>
        <v>31940</v>
      </c>
      <c r="N117" s="32" t="s">
        <v>1110</v>
      </c>
      <c r="O117" s="31">
        <f>27200</f>
        <v>27200</v>
      </c>
      <c r="P117" s="32" t="s">
        <v>674</v>
      </c>
      <c r="Q117" s="31">
        <f>30960</f>
        <v>30960</v>
      </c>
      <c r="R117" s="32" t="s">
        <v>777</v>
      </c>
      <c r="S117" s="33">
        <f>29991.67</f>
        <v>29991.67</v>
      </c>
      <c r="T117" s="30">
        <f>2173</f>
        <v>2173</v>
      </c>
      <c r="U117" s="30" t="str">
        <f>"－"</f>
        <v>－</v>
      </c>
      <c r="V117" s="30">
        <f>64135390</f>
        <v>64135390</v>
      </c>
      <c r="W117" s="30" t="str">
        <f>"－"</f>
        <v>－</v>
      </c>
      <c r="X117" s="34">
        <f>21</f>
        <v>21</v>
      </c>
    </row>
    <row r="118" spans="1:24">
      <c r="A118" s="25" t="s">
        <v>1201</v>
      </c>
      <c r="B118" s="25" t="s">
        <v>326</v>
      </c>
      <c r="C118" s="25" t="s">
        <v>327</v>
      </c>
      <c r="D118" s="25" t="s">
        <v>328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30680</f>
        <v>30680</v>
      </c>
      <c r="L118" s="32" t="s">
        <v>1110</v>
      </c>
      <c r="M118" s="31">
        <f>31870</f>
        <v>31870</v>
      </c>
      <c r="N118" s="32" t="s">
        <v>777</v>
      </c>
      <c r="O118" s="31">
        <f>27175</f>
        <v>27175</v>
      </c>
      <c r="P118" s="32" t="s">
        <v>1124</v>
      </c>
      <c r="Q118" s="31">
        <f>31440</f>
        <v>31440</v>
      </c>
      <c r="R118" s="32" t="s">
        <v>777</v>
      </c>
      <c r="S118" s="33">
        <f>29943.57</f>
        <v>29943.57</v>
      </c>
      <c r="T118" s="30">
        <f>22207</f>
        <v>22207</v>
      </c>
      <c r="U118" s="30">
        <f>7594</f>
        <v>7594</v>
      </c>
      <c r="V118" s="30">
        <f>682271774</f>
        <v>682271774</v>
      </c>
      <c r="W118" s="30">
        <f>236782624</f>
        <v>236782624</v>
      </c>
      <c r="X118" s="34">
        <f>21</f>
        <v>21</v>
      </c>
    </row>
    <row r="119" spans="1:24">
      <c r="A119" s="25" t="s">
        <v>1201</v>
      </c>
      <c r="B119" s="25" t="s">
        <v>329</v>
      </c>
      <c r="C119" s="25" t="s">
        <v>330</v>
      </c>
      <c r="D119" s="25" t="s">
        <v>331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31580</f>
        <v>31580</v>
      </c>
      <c r="L119" s="32" t="s">
        <v>1110</v>
      </c>
      <c r="M119" s="31">
        <f>31590</f>
        <v>31590</v>
      </c>
      <c r="N119" s="32" t="s">
        <v>1110</v>
      </c>
      <c r="O119" s="31">
        <f>24280</f>
        <v>24280</v>
      </c>
      <c r="P119" s="32" t="s">
        <v>674</v>
      </c>
      <c r="Q119" s="31">
        <f>30310</f>
        <v>30310</v>
      </c>
      <c r="R119" s="32" t="s">
        <v>777</v>
      </c>
      <c r="S119" s="33">
        <f>29045.48</f>
        <v>29045.48</v>
      </c>
      <c r="T119" s="30">
        <f>18092</f>
        <v>18092</v>
      </c>
      <c r="U119" s="30">
        <f>148</f>
        <v>148</v>
      </c>
      <c r="V119" s="30">
        <f>519724974</f>
        <v>519724974</v>
      </c>
      <c r="W119" s="30">
        <f>4498724</f>
        <v>4498724</v>
      </c>
      <c r="X119" s="34">
        <f>21</f>
        <v>21</v>
      </c>
    </row>
    <row r="120" spans="1:24">
      <c r="A120" s="25" t="s">
        <v>1201</v>
      </c>
      <c r="B120" s="25" t="s">
        <v>332</v>
      </c>
      <c r="C120" s="25" t="s">
        <v>333</v>
      </c>
      <c r="D120" s="25" t="s">
        <v>334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26075</f>
        <v>26075</v>
      </c>
      <c r="L120" s="32" t="s">
        <v>1110</v>
      </c>
      <c r="M120" s="31">
        <f>26075</f>
        <v>26075</v>
      </c>
      <c r="N120" s="32" t="s">
        <v>1110</v>
      </c>
      <c r="O120" s="31">
        <f>21380</f>
        <v>21380</v>
      </c>
      <c r="P120" s="32" t="s">
        <v>674</v>
      </c>
      <c r="Q120" s="31">
        <f>25830</f>
        <v>25830</v>
      </c>
      <c r="R120" s="32" t="s">
        <v>777</v>
      </c>
      <c r="S120" s="33">
        <f>24613.57</f>
        <v>24613.57</v>
      </c>
      <c r="T120" s="30">
        <f>4885</f>
        <v>4885</v>
      </c>
      <c r="U120" s="30">
        <f>1</f>
        <v>1</v>
      </c>
      <c r="V120" s="30">
        <f>116997585</f>
        <v>116997585</v>
      </c>
      <c r="W120" s="30">
        <f>25470</f>
        <v>25470</v>
      </c>
      <c r="X120" s="34">
        <f>21</f>
        <v>21</v>
      </c>
    </row>
    <row r="121" spans="1:24">
      <c r="A121" s="25" t="s">
        <v>1201</v>
      </c>
      <c r="B121" s="25" t="s">
        <v>335</v>
      </c>
      <c r="C121" s="25" t="s">
        <v>336</v>
      </c>
      <c r="D121" s="25" t="s">
        <v>337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58540</f>
        <v>58540</v>
      </c>
      <c r="L121" s="32" t="s">
        <v>1110</v>
      </c>
      <c r="M121" s="31">
        <f>58540</f>
        <v>58540</v>
      </c>
      <c r="N121" s="32" t="s">
        <v>1110</v>
      </c>
      <c r="O121" s="31">
        <f>43610</f>
        <v>43610</v>
      </c>
      <c r="P121" s="32" t="s">
        <v>674</v>
      </c>
      <c r="Q121" s="31">
        <f>54730</f>
        <v>54730</v>
      </c>
      <c r="R121" s="32" t="s">
        <v>777</v>
      </c>
      <c r="S121" s="33">
        <f>52980</f>
        <v>52980</v>
      </c>
      <c r="T121" s="30">
        <f>2850</f>
        <v>2850</v>
      </c>
      <c r="U121" s="30">
        <f>49</f>
        <v>49</v>
      </c>
      <c r="V121" s="30">
        <f>149319430</f>
        <v>149319430</v>
      </c>
      <c r="W121" s="30">
        <f>2655560</f>
        <v>2655560</v>
      </c>
      <c r="X121" s="34">
        <f>21</f>
        <v>21</v>
      </c>
    </row>
    <row r="122" spans="1:24">
      <c r="A122" s="25" t="s">
        <v>1201</v>
      </c>
      <c r="B122" s="25" t="s">
        <v>338</v>
      </c>
      <c r="C122" s="25" t="s">
        <v>339</v>
      </c>
      <c r="D122" s="25" t="s">
        <v>340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38210</f>
        <v>38210</v>
      </c>
      <c r="L122" s="32" t="s">
        <v>1110</v>
      </c>
      <c r="M122" s="31">
        <f>38210</f>
        <v>38210</v>
      </c>
      <c r="N122" s="32" t="s">
        <v>1110</v>
      </c>
      <c r="O122" s="31">
        <f>29660</f>
        <v>29660</v>
      </c>
      <c r="P122" s="32" t="s">
        <v>674</v>
      </c>
      <c r="Q122" s="31">
        <f>37740</f>
        <v>37740</v>
      </c>
      <c r="R122" s="32" t="s">
        <v>777</v>
      </c>
      <c r="S122" s="33">
        <f>35944.76</f>
        <v>35944.76</v>
      </c>
      <c r="T122" s="30">
        <f>8465</f>
        <v>8465</v>
      </c>
      <c r="U122" s="30">
        <f>89</f>
        <v>89</v>
      </c>
      <c r="V122" s="30">
        <f>300281325</f>
        <v>300281325</v>
      </c>
      <c r="W122" s="30">
        <f>3281655</f>
        <v>3281655</v>
      </c>
      <c r="X122" s="34">
        <f>21</f>
        <v>21</v>
      </c>
    </row>
    <row r="123" spans="1:24">
      <c r="A123" s="25" t="s">
        <v>1201</v>
      </c>
      <c r="B123" s="25" t="s">
        <v>341</v>
      </c>
      <c r="C123" s="25" t="s">
        <v>342</v>
      </c>
      <c r="D123" s="25" t="s">
        <v>343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34920</f>
        <v>34920</v>
      </c>
      <c r="L123" s="32" t="s">
        <v>1110</v>
      </c>
      <c r="M123" s="31">
        <f>35340</f>
        <v>35340</v>
      </c>
      <c r="N123" s="32" t="s">
        <v>777</v>
      </c>
      <c r="O123" s="31">
        <f>28900</f>
        <v>28900</v>
      </c>
      <c r="P123" s="32" t="s">
        <v>674</v>
      </c>
      <c r="Q123" s="31">
        <f>35340</f>
        <v>35340</v>
      </c>
      <c r="R123" s="32" t="s">
        <v>777</v>
      </c>
      <c r="S123" s="33">
        <f>33600.95</f>
        <v>33600.949999999997</v>
      </c>
      <c r="T123" s="30">
        <f>8978</f>
        <v>8978</v>
      </c>
      <c r="U123" s="30">
        <f>10</f>
        <v>10</v>
      </c>
      <c r="V123" s="30">
        <f>288391530</f>
        <v>288391530</v>
      </c>
      <c r="W123" s="30">
        <f>342170</f>
        <v>342170</v>
      </c>
      <c r="X123" s="34">
        <f>21</f>
        <v>21</v>
      </c>
    </row>
    <row r="124" spans="1:24">
      <c r="A124" s="25" t="s">
        <v>1201</v>
      </c>
      <c r="B124" s="25" t="s">
        <v>344</v>
      </c>
      <c r="C124" s="25" t="s">
        <v>345</v>
      </c>
      <c r="D124" s="25" t="s">
        <v>346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9440</f>
        <v>9440</v>
      </c>
      <c r="L124" s="32" t="s">
        <v>1110</v>
      </c>
      <c r="M124" s="31">
        <f>9450</f>
        <v>9450</v>
      </c>
      <c r="N124" s="32" t="s">
        <v>1110</v>
      </c>
      <c r="O124" s="31">
        <f>7693</f>
        <v>7693</v>
      </c>
      <c r="P124" s="32" t="s">
        <v>674</v>
      </c>
      <c r="Q124" s="31">
        <f>9383</f>
        <v>9383</v>
      </c>
      <c r="R124" s="32" t="s">
        <v>777</v>
      </c>
      <c r="S124" s="33">
        <f>9038</f>
        <v>9038</v>
      </c>
      <c r="T124" s="30">
        <f>86357</f>
        <v>86357</v>
      </c>
      <c r="U124" s="30">
        <f>1</f>
        <v>1</v>
      </c>
      <c r="V124" s="30">
        <f>769513593</f>
        <v>769513593</v>
      </c>
      <c r="W124" s="30">
        <f>8676</f>
        <v>8676</v>
      </c>
      <c r="X124" s="34">
        <f>21</f>
        <v>21</v>
      </c>
    </row>
    <row r="125" spans="1:24">
      <c r="A125" s="25" t="s">
        <v>1201</v>
      </c>
      <c r="B125" s="25" t="s">
        <v>347</v>
      </c>
      <c r="C125" s="25" t="s">
        <v>348</v>
      </c>
      <c r="D125" s="25" t="s">
        <v>349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18290</f>
        <v>18290</v>
      </c>
      <c r="L125" s="32" t="s">
        <v>1110</v>
      </c>
      <c r="M125" s="31">
        <f>18290</f>
        <v>18290</v>
      </c>
      <c r="N125" s="32" t="s">
        <v>1110</v>
      </c>
      <c r="O125" s="31">
        <f>14900</f>
        <v>14900</v>
      </c>
      <c r="P125" s="32" t="s">
        <v>674</v>
      </c>
      <c r="Q125" s="31">
        <f>18250</f>
        <v>18250</v>
      </c>
      <c r="R125" s="32" t="s">
        <v>777</v>
      </c>
      <c r="S125" s="33">
        <f>17413.81</f>
        <v>17413.810000000001</v>
      </c>
      <c r="T125" s="30">
        <f>10263</f>
        <v>10263</v>
      </c>
      <c r="U125" s="30">
        <f>5</f>
        <v>5</v>
      </c>
      <c r="V125" s="30">
        <f>176415545</f>
        <v>176415545</v>
      </c>
      <c r="W125" s="30">
        <f>85670</f>
        <v>85670</v>
      </c>
      <c r="X125" s="34">
        <f>21</f>
        <v>21</v>
      </c>
    </row>
    <row r="126" spans="1:24">
      <c r="A126" s="25" t="s">
        <v>1201</v>
      </c>
      <c r="B126" s="25" t="s">
        <v>350</v>
      </c>
      <c r="C126" s="25" t="s">
        <v>351</v>
      </c>
      <c r="D126" s="25" t="s">
        <v>352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89080</f>
        <v>89080</v>
      </c>
      <c r="L126" s="32" t="s">
        <v>1110</v>
      </c>
      <c r="M126" s="31">
        <f>89870</f>
        <v>89870</v>
      </c>
      <c r="N126" s="32" t="s">
        <v>1110</v>
      </c>
      <c r="O126" s="31">
        <f>65000</f>
        <v>65000</v>
      </c>
      <c r="P126" s="32" t="s">
        <v>674</v>
      </c>
      <c r="Q126" s="31">
        <f>84370</f>
        <v>84370</v>
      </c>
      <c r="R126" s="32" t="s">
        <v>777</v>
      </c>
      <c r="S126" s="33">
        <f>80100</f>
        <v>80100</v>
      </c>
      <c r="T126" s="30">
        <f>45195</f>
        <v>45195</v>
      </c>
      <c r="U126" s="30">
        <f>6828</f>
        <v>6828</v>
      </c>
      <c r="V126" s="30">
        <f>3541454929</f>
        <v>3541454929</v>
      </c>
      <c r="W126" s="30">
        <f>522942429</f>
        <v>522942429</v>
      </c>
      <c r="X126" s="34">
        <f>21</f>
        <v>21</v>
      </c>
    </row>
    <row r="127" spans="1:24">
      <c r="A127" s="25" t="s">
        <v>1201</v>
      </c>
      <c r="B127" s="25" t="s">
        <v>1139</v>
      </c>
      <c r="C127" s="25" t="s">
        <v>1138</v>
      </c>
      <c r="D127" s="25" t="s">
        <v>1137</v>
      </c>
      <c r="E127" s="26" t="s">
        <v>43</v>
      </c>
      <c r="F127" s="27" t="s">
        <v>43</v>
      </c>
      <c r="G127" s="28" t="s">
        <v>43</v>
      </c>
      <c r="H127" s="29"/>
      <c r="I127" s="29" t="s">
        <v>465</v>
      </c>
      <c r="J127" s="30">
        <v>1</v>
      </c>
      <c r="K127" s="31">
        <f>9875</f>
        <v>9875</v>
      </c>
      <c r="L127" s="32" t="s">
        <v>1116</v>
      </c>
      <c r="M127" s="31">
        <f>10015</f>
        <v>10015</v>
      </c>
      <c r="N127" s="32" t="s">
        <v>777</v>
      </c>
      <c r="O127" s="31">
        <f>8245</f>
        <v>8245</v>
      </c>
      <c r="P127" s="32" t="s">
        <v>674</v>
      </c>
      <c r="Q127" s="31">
        <f>10015</f>
        <v>10015</v>
      </c>
      <c r="R127" s="32" t="s">
        <v>777</v>
      </c>
      <c r="S127" s="33">
        <f>9517.41</f>
        <v>9517.41</v>
      </c>
      <c r="T127" s="30">
        <f>7338</f>
        <v>7338</v>
      </c>
      <c r="U127" s="30" t="str">
        <f>"－"</f>
        <v>－</v>
      </c>
      <c r="V127" s="30">
        <f>68802735</f>
        <v>68802735</v>
      </c>
      <c r="W127" s="30" t="str">
        <f>"－"</f>
        <v>－</v>
      </c>
      <c r="X127" s="34">
        <f>17</f>
        <v>17</v>
      </c>
    </row>
    <row r="128" spans="1:24">
      <c r="A128" s="25" t="s">
        <v>1201</v>
      </c>
      <c r="B128" s="25" t="s">
        <v>353</v>
      </c>
      <c r="C128" s="25" t="s">
        <v>354</v>
      </c>
      <c r="D128" s="25" t="s">
        <v>355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28835</f>
        <v>28835</v>
      </c>
      <c r="L128" s="32" t="s">
        <v>1110</v>
      </c>
      <c r="M128" s="31">
        <f>30610</f>
        <v>30610</v>
      </c>
      <c r="N128" s="32" t="s">
        <v>1114</v>
      </c>
      <c r="O128" s="31">
        <f>25215</f>
        <v>25215</v>
      </c>
      <c r="P128" s="32" t="s">
        <v>674</v>
      </c>
      <c r="Q128" s="31">
        <f>30030</f>
        <v>30030</v>
      </c>
      <c r="R128" s="32" t="s">
        <v>777</v>
      </c>
      <c r="S128" s="33">
        <f>28438.81</f>
        <v>28438.81</v>
      </c>
      <c r="T128" s="30">
        <f>8477</f>
        <v>8477</v>
      </c>
      <c r="U128" s="30">
        <f>12</f>
        <v>12</v>
      </c>
      <c r="V128" s="30">
        <f>246017797</f>
        <v>246017797</v>
      </c>
      <c r="W128" s="30">
        <f>356207</f>
        <v>356207</v>
      </c>
      <c r="X128" s="34">
        <f>21</f>
        <v>21</v>
      </c>
    </row>
    <row r="129" spans="1:24">
      <c r="A129" s="25" t="s">
        <v>1201</v>
      </c>
      <c r="B129" s="25" t="s">
        <v>356</v>
      </c>
      <c r="C129" s="25" t="s">
        <v>357</v>
      </c>
      <c r="D129" s="25" t="s">
        <v>358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19990</f>
        <v>19990</v>
      </c>
      <c r="L129" s="32" t="s">
        <v>1110</v>
      </c>
      <c r="M129" s="31">
        <f>19995</f>
        <v>19995</v>
      </c>
      <c r="N129" s="32" t="s">
        <v>1110</v>
      </c>
      <c r="O129" s="31">
        <f>14100</f>
        <v>14100</v>
      </c>
      <c r="P129" s="32" t="s">
        <v>674</v>
      </c>
      <c r="Q129" s="31">
        <f>17230</f>
        <v>17230</v>
      </c>
      <c r="R129" s="32" t="s">
        <v>777</v>
      </c>
      <c r="S129" s="33">
        <f>16961.19</f>
        <v>16961.189999999999</v>
      </c>
      <c r="T129" s="30">
        <f>366737</f>
        <v>366737</v>
      </c>
      <c r="U129" s="30">
        <f>239604</f>
        <v>239604</v>
      </c>
      <c r="V129" s="30">
        <f>6157115373</f>
        <v>6157115373</v>
      </c>
      <c r="W129" s="30">
        <f>4034414753</f>
        <v>4034414753</v>
      </c>
      <c r="X129" s="34">
        <f>21</f>
        <v>21</v>
      </c>
    </row>
    <row r="130" spans="1:24">
      <c r="A130" s="25" t="s">
        <v>1201</v>
      </c>
      <c r="B130" s="25" t="s">
        <v>359</v>
      </c>
      <c r="C130" s="25" t="s">
        <v>360</v>
      </c>
      <c r="D130" s="25" t="s">
        <v>361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29630</f>
        <v>29630</v>
      </c>
      <c r="L130" s="32" t="s">
        <v>1110</v>
      </c>
      <c r="M130" s="31">
        <f>29630</f>
        <v>29630</v>
      </c>
      <c r="N130" s="32" t="s">
        <v>1110</v>
      </c>
      <c r="O130" s="31">
        <f>20380</f>
        <v>20380</v>
      </c>
      <c r="P130" s="32" t="s">
        <v>674</v>
      </c>
      <c r="Q130" s="31">
        <f>26740</f>
        <v>26740</v>
      </c>
      <c r="R130" s="32" t="s">
        <v>777</v>
      </c>
      <c r="S130" s="33">
        <f>25750.24</f>
        <v>25750.240000000002</v>
      </c>
      <c r="T130" s="30">
        <f>55927</f>
        <v>55927</v>
      </c>
      <c r="U130" s="30">
        <f>44</f>
        <v>44</v>
      </c>
      <c r="V130" s="30">
        <f>1429253491</f>
        <v>1429253491</v>
      </c>
      <c r="W130" s="30">
        <f>1175581</f>
        <v>1175581</v>
      </c>
      <c r="X130" s="34">
        <f>21</f>
        <v>21</v>
      </c>
    </row>
    <row r="131" spans="1:24">
      <c r="A131" s="25" t="s">
        <v>1201</v>
      </c>
      <c r="B131" s="25" t="s">
        <v>362</v>
      </c>
      <c r="C131" s="25" t="s">
        <v>363</v>
      </c>
      <c r="D131" s="25" t="s">
        <v>364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</v>
      </c>
      <c r="K131" s="31">
        <f>40280</f>
        <v>40280</v>
      </c>
      <c r="L131" s="32" t="s">
        <v>1110</v>
      </c>
      <c r="M131" s="31">
        <f>41140</f>
        <v>41140</v>
      </c>
      <c r="N131" s="32" t="s">
        <v>777</v>
      </c>
      <c r="O131" s="31">
        <f>30500</f>
        <v>30500</v>
      </c>
      <c r="P131" s="32" t="s">
        <v>674</v>
      </c>
      <c r="Q131" s="31">
        <f>41140</f>
        <v>41140</v>
      </c>
      <c r="R131" s="32" t="s">
        <v>777</v>
      </c>
      <c r="S131" s="33">
        <f>38787.14</f>
        <v>38787.14</v>
      </c>
      <c r="T131" s="30">
        <f>7462</f>
        <v>7462</v>
      </c>
      <c r="U131" s="30">
        <f>84</f>
        <v>84</v>
      </c>
      <c r="V131" s="30">
        <f>278800230</f>
        <v>278800230</v>
      </c>
      <c r="W131" s="30">
        <f>3298080</f>
        <v>3298080</v>
      </c>
      <c r="X131" s="34">
        <f>21</f>
        <v>21</v>
      </c>
    </row>
    <row r="132" spans="1:24">
      <c r="A132" s="25" t="s">
        <v>1201</v>
      </c>
      <c r="B132" s="25" t="s">
        <v>1136</v>
      </c>
      <c r="C132" s="25" t="s">
        <v>1135</v>
      </c>
      <c r="D132" s="25" t="s">
        <v>1134</v>
      </c>
      <c r="E132" s="26" t="s">
        <v>43</v>
      </c>
      <c r="F132" s="27" t="s">
        <v>43</v>
      </c>
      <c r="G132" s="28" t="s">
        <v>43</v>
      </c>
      <c r="H132" s="29"/>
      <c r="I132" s="29" t="s">
        <v>465</v>
      </c>
      <c r="J132" s="30">
        <v>1</v>
      </c>
      <c r="K132" s="31">
        <f>9489</f>
        <v>9489</v>
      </c>
      <c r="L132" s="32" t="s">
        <v>1110</v>
      </c>
      <c r="M132" s="31">
        <f>9500</f>
        <v>9500</v>
      </c>
      <c r="N132" s="32" t="s">
        <v>1110</v>
      </c>
      <c r="O132" s="31">
        <f>7000</f>
        <v>7000</v>
      </c>
      <c r="P132" s="32" t="s">
        <v>674</v>
      </c>
      <c r="Q132" s="31">
        <f>8920</f>
        <v>8920</v>
      </c>
      <c r="R132" s="32" t="s">
        <v>777</v>
      </c>
      <c r="S132" s="33">
        <f>8587.57</f>
        <v>8587.57</v>
      </c>
      <c r="T132" s="30">
        <f>133675</f>
        <v>133675</v>
      </c>
      <c r="U132" s="30" t="str">
        <f>"－"</f>
        <v>－</v>
      </c>
      <c r="V132" s="30">
        <f>1139150180</f>
        <v>1139150180</v>
      </c>
      <c r="W132" s="30" t="str">
        <f>"－"</f>
        <v>－</v>
      </c>
      <c r="X132" s="34">
        <f>21</f>
        <v>21</v>
      </c>
    </row>
    <row r="133" spans="1:24">
      <c r="A133" s="25" t="s">
        <v>1201</v>
      </c>
      <c r="B133" s="25" t="s">
        <v>365</v>
      </c>
      <c r="C133" s="25" t="s">
        <v>926</v>
      </c>
      <c r="D133" s="25" t="s">
        <v>927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</v>
      </c>
      <c r="K133" s="31">
        <f>2124</f>
        <v>2124</v>
      </c>
      <c r="L133" s="32" t="s">
        <v>1110</v>
      </c>
      <c r="M133" s="31">
        <f>2125</f>
        <v>2125</v>
      </c>
      <c r="N133" s="32" t="s">
        <v>1110</v>
      </c>
      <c r="O133" s="31">
        <f>1544</f>
        <v>1544</v>
      </c>
      <c r="P133" s="32" t="s">
        <v>674</v>
      </c>
      <c r="Q133" s="31">
        <f>1989</f>
        <v>1989</v>
      </c>
      <c r="R133" s="32" t="s">
        <v>777</v>
      </c>
      <c r="S133" s="33">
        <f>1914.71</f>
        <v>1914.71</v>
      </c>
      <c r="T133" s="30">
        <f>1653932</f>
        <v>1653932</v>
      </c>
      <c r="U133" s="30">
        <f>780668</f>
        <v>780668</v>
      </c>
      <c r="V133" s="30">
        <f>3119639491</f>
        <v>3119639491</v>
      </c>
      <c r="W133" s="30">
        <f>1493335100</f>
        <v>1493335100</v>
      </c>
      <c r="X133" s="34">
        <f>21</f>
        <v>21</v>
      </c>
    </row>
    <row r="134" spans="1:24">
      <c r="A134" s="25" t="s">
        <v>1201</v>
      </c>
      <c r="B134" s="25" t="s">
        <v>366</v>
      </c>
      <c r="C134" s="25" t="s">
        <v>928</v>
      </c>
      <c r="D134" s="25" t="s">
        <v>929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3342</f>
        <v>3342</v>
      </c>
      <c r="L134" s="32" t="s">
        <v>1110</v>
      </c>
      <c r="M134" s="31">
        <f>3342</f>
        <v>3342</v>
      </c>
      <c r="N134" s="32" t="s">
        <v>1110</v>
      </c>
      <c r="O134" s="31">
        <f>2783.5</f>
        <v>2783.5</v>
      </c>
      <c r="P134" s="32" t="s">
        <v>674</v>
      </c>
      <c r="Q134" s="31">
        <f>3200</f>
        <v>3200</v>
      </c>
      <c r="R134" s="32" t="s">
        <v>1114</v>
      </c>
      <c r="S134" s="33">
        <f>3076.96</f>
        <v>3076.96</v>
      </c>
      <c r="T134" s="30">
        <f>13650</f>
        <v>13650</v>
      </c>
      <c r="U134" s="30" t="str">
        <f>"－"</f>
        <v>－</v>
      </c>
      <c r="V134" s="30">
        <f>41392265</f>
        <v>41392265</v>
      </c>
      <c r="W134" s="30" t="str">
        <f>"－"</f>
        <v>－</v>
      </c>
      <c r="X134" s="34">
        <f>14</f>
        <v>14</v>
      </c>
    </row>
    <row r="135" spans="1:24">
      <c r="A135" s="25" t="s">
        <v>1201</v>
      </c>
      <c r="B135" s="25" t="s">
        <v>367</v>
      </c>
      <c r="C135" s="25" t="s">
        <v>930</v>
      </c>
      <c r="D135" s="25" t="s">
        <v>931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3477</f>
        <v>3477</v>
      </c>
      <c r="L135" s="32" t="s">
        <v>1110</v>
      </c>
      <c r="M135" s="31">
        <f>3477</f>
        <v>3477</v>
      </c>
      <c r="N135" s="32" t="s">
        <v>1110</v>
      </c>
      <c r="O135" s="31">
        <f>2978</f>
        <v>2978</v>
      </c>
      <c r="P135" s="32" t="s">
        <v>1124</v>
      </c>
      <c r="Q135" s="31">
        <f>3464</f>
        <v>3464</v>
      </c>
      <c r="R135" s="32" t="s">
        <v>777</v>
      </c>
      <c r="S135" s="33">
        <f>3309.76</f>
        <v>3309.76</v>
      </c>
      <c r="T135" s="30">
        <f>33820</f>
        <v>33820</v>
      </c>
      <c r="U135" s="30">
        <f>2880</f>
        <v>2880</v>
      </c>
      <c r="V135" s="30">
        <f>112165530</f>
        <v>112165530</v>
      </c>
      <c r="W135" s="30">
        <f>9996480</f>
        <v>9996480</v>
      </c>
      <c r="X135" s="34">
        <f>17</f>
        <v>17</v>
      </c>
    </row>
    <row r="136" spans="1:24">
      <c r="A136" s="25" t="s">
        <v>1201</v>
      </c>
      <c r="B136" s="25" t="s">
        <v>368</v>
      </c>
      <c r="C136" s="25" t="s">
        <v>932</v>
      </c>
      <c r="D136" s="25" t="s">
        <v>933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2005</f>
        <v>2005</v>
      </c>
      <c r="L136" s="32" t="s">
        <v>1116</v>
      </c>
      <c r="M136" s="31">
        <f>2146</f>
        <v>2146</v>
      </c>
      <c r="N136" s="32" t="s">
        <v>760</v>
      </c>
      <c r="O136" s="31">
        <f>1967</f>
        <v>1967</v>
      </c>
      <c r="P136" s="32" t="s">
        <v>876</v>
      </c>
      <c r="Q136" s="31">
        <f>2144.5</f>
        <v>2144.5</v>
      </c>
      <c r="R136" s="32" t="s">
        <v>1111</v>
      </c>
      <c r="S136" s="33">
        <f>2064.31</f>
        <v>2064.31</v>
      </c>
      <c r="T136" s="30">
        <f>1300</f>
        <v>1300</v>
      </c>
      <c r="U136" s="30" t="str">
        <f>"－"</f>
        <v>－</v>
      </c>
      <c r="V136" s="30">
        <f>2678325</f>
        <v>2678325</v>
      </c>
      <c r="W136" s="30" t="str">
        <f>"－"</f>
        <v>－</v>
      </c>
      <c r="X136" s="34">
        <f>8</f>
        <v>8</v>
      </c>
    </row>
    <row r="137" spans="1:24">
      <c r="A137" s="25" t="s">
        <v>1201</v>
      </c>
      <c r="B137" s="25" t="s">
        <v>369</v>
      </c>
      <c r="C137" s="25" t="s">
        <v>370</v>
      </c>
      <c r="D137" s="25" t="s">
        <v>371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601</f>
        <v>601</v>
      </c>
      <c r="L137" s="32" t="s">
        <v>1110</v>
      </c>
      <c r="M137" s="31">
        <f>602.3</f>
        <v>602.29999999999995</v>
      </c>
      <c r="N137" s="32" t="s">
        <v>1110</v>
      </c>
      <c r="O137" s="31">
        <f>532.8</f>
        <v>532.79999999999995</v>
      </c>
      <c r="P137" s="32" t="s">
        <v>674</v>
      </c>
      <c r="Q137" s="31">
        <f>584.8</f>
        <v>584.79999999999995</v>
      </c>
      <c r="R137" s="32" t="s">
        <v>777</v>
      </c>
      <c r="S137" s="33">
        <f>577.15</f>
        <v>577.15</v>
      </c>
      <c r="T137" s="30">
        <f>59807760</f>
        <v>59807760</v>
      </c>
      <c r="U137" s="30">
        <f>588300</f>
        <v>588300</v>
      </c>
      <c r="V137" s="30">
        <f>34182206328</f>
        <v>34182206328</v>
      </c>
      <c r="W137" s="30">
        <f>341189421</f>
        <v>341189421</v>
      </c>
      <c r="X137" s="34">
        <f>21</f>
        <v>21</v>
      </c>
    </row>
    <row r="138" spans="1:24">
      <c r="A138" s="25" t="s">
        <v>1201</v>
      </c>
      <c r="B138" s="25" t="s">
        <v>372</v>
      </c>
      <c r="C138" s="25" t="s">
        <v>373</v>
      </c>
      <c r="D138" s="25" t="s">
        <v>374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10</v>
      </c>
      <c r="K138" s="31">
        <f>299.6</f>
        <v>299.60000000000002</v>
      </c>
      <c r="L138" s="32" t="s">
        <v>1110</v>
      </c>
      <c r="M138" s="31">
        <f>302</f>
        <v>302</v>
      </c>
      <c r="N138" s="32" t="s">
        <v>1123</v>
      </c>
      <c r="O138" s="31">
        <f>288.8</f>
        <v>288.8</v>
      </c>
      <c r="P138" s="32" t="s">
        <v>674</v>
      </c>
      <c r="Q138" s="31">
        <f>294.2</f>
        <v>294.2</v>
      </c>
      <c r="R138" s="32" t="s">
        <v>777</v>
      </c>
      <c r="S138" s="33">
        <f>296.63</f>
        <v>296.63</v>
      </c>
      <c r="T138" s="30">
        <f>32784970</f>
        <v>32784970</v>
      </c>
      <c r="U138" s="30">
        <f>25559440</f>
        <v>25559440</v>
      </c>
      <c r="V138" s="30">
        <f>9712468947</f>
        <v>9712468947</v>
      </c>
      <c r="W138" s="30">
        <f>7558978319</f>
        <v>7558978319</v>
      </c>
      <c r="X138" s="34">
        <f>21</f>
        <v>21</v>
      </c>
    </row>
    <row r="139" spans="1:24">
      <c r="A139" s="25" t="s">
        <v>1201</v>
      </c>
      <c r="B139" s="25" t="s">
        <v>375</v>
      </c>
      <c r="C139" s="25" t="s">
        <v>973</v>
      </c>
      <c r="D139" s="25" t="s">
        <v>376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5040</f>
        <v>5040</v>
      </c>
      <c r="L139" s="32" t="s">
        <v>1110</v>
      </c>
      <c r="M139" s="31">
        <f>5040</f>
        <v>5040</v>
      </c>
      <c r="N139" s="32" t="s">
        <v>1110</v>
      </c>
      <c r="O139" s="31">
        <f>4480</f>
        <v>4480</v>
      </c>
      <c r="P139" s="32" t="s">
        <v>674</v>
      </c>
      <c r="Q139" s="31">
        <f>4900</f>
        <v>4900</v>
      </c>
      <c r="R139" s="32" t="s">
        <v>777</v>
      </c>
      <c r="S139" s="33">
        <f>4832.14</f>
        <v>4832.1400000000003</v>
      </c>
      <c r="T139" s="30">
        <f>173819</f>
        <v>173819</v>
      </c>
      <c r="U139" s="30">
        <f>107344</f>
        <v>107344</v>
      </c>
      <c r="V139" s="30">
        <f>847317420</f>
        <v>847317420</v>
      </c>
      <c r="W139" s="30">
        <f>529564965</f>
        <v>529564965</v>
      </c>
      <c r="X139" s="34">
        <f>21</f>
        <v>21</v>
      </c>
    </row>
    <row r="140" spans="1:24">
      <c r="A140" s="25" t="s">
        <v>1201</v>
      </c>
      <c r="B140" s="25" t="s">
        <v>377</v>
      </c>
      <c r="C140" s="25" t="s">
        <v>378</v>
      </c>
      <c r="D140" s="25" t="s">
        <v>379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2757</f>
        <v>2757</v>
      </c>
      <c r="L140" s="32" t="s">
        <v>1110</v>
      </c>
      <c r="M140" s="31">
        <f>2757</f>
        <v>2757</v>
      </c>
      <c r="N140" s="32" t="s">
        <v>1110</v>
      </c>
      <c r="O140" s="31">
        <f>2383</f>
        <v>2383</v>
      </c>
      <c r="P140" s="32" t="s">
        <v>674</v>
      </c>
      <c r="Q140" s="31">
        <f>2654</f>
        <v>2654</v>
      </c>
      <c r="R140" s="32" t="s">
        <v>777</v>
      </c>
      <c r="S140" s="33">
        <f>2645.1</f>
        <v>2645.1</v>
      </c>
      <c r="T140" s="30">
        <f>109656</f>
        <v>109656</v>
      </c>
      <c r="U140" s="30">
        <f>38502</f>
        <v>38502</v>
      </c>
      <c r="V140" s="30">
        <f>288216297</f>
        <v>288216297</v>
      </c>
      <c r="W140" s="30">
        <f>100719693</f>
        <v>100719693</v>
      </c>
      <c r="X140" s="34">
        <f>21</f>
        <v>21</v>
      </c>
    </row>
    <row r="141" spans="1:24">
      <c r="A141" s="25" t="s">
        <v>1201</v>
      </c>
      <c r="B141" s="25" t="s">
        <v>380</v>
      </c>
      <c r="C141" s="25" t="s">
        <v>381</v>
      </c>
      <c r="D141" s="25" t="s">
        <v>382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3205</f>
        <v>3205</v>
      </c>
      <c r="L141" s="32" t="s">
        <v>1110</v>
      </c>
      <c r="M141" s="31">
        <f>3240</f>
        <v>3240</v>
      </c>
      <c r="N141" s="32" t="s">
        <v>883</v>
      </c>
      <c r="O141" s="31">
        <f>3000</f>
        <v>3000</v>
      </c>
      <c r="P141" s="32" t="s">
        <v>674</v>
      </c>
      <c r="Q141" s="31">
        <f>3215</f>
        <v>3215</v>
      </c>
      <c r="R141" s="32" t="s">
        <v>777</v>
      </c>
      <c r="S141" s="33">
        <f>3163.57</f>
        <v>3163.57</v>
      </c>
      <c r="T141" s="30">
        <f>211947</f>
        <v>211947</v>
      </c>
      <c r="U141" s="30">
        <f>6</f>
        <v>6</v>
      </c>
      <c r="V141" s="30">
        <f>660751020</f>
        <v>660751020</v>
      </c>
      <c r="W141" s="30">
        <f>19140</f>
        <v>19140</v>
      </c>
      <c r="X141" s="34">
        <f>21</f>
        <v>21</v>
      </c>
    </row>
    <row r="142" spans="1:24">
      <c r="A142" s="25" t="s">
        <v>1201</v>
      </c>
      <c r="B142" s="25" t="s">
        <v>383</v>
      </c>
      <c r="C142" s="25" t="s">
        <v>384</v>
      </c>
      <c r="D142" s="25" t="s">
        <v>385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9922</f>
        <v>9922</v>
      </c>
      <c r="L142" s="32" t="s">
        <v>1110</v>
      </c>
      <c r="M142" s="31">
        <f>10240</f>
        <v>10240</v>
      </c>
      <c r="N142" s="32" t="s">
        <v>883</v>
      </c>
      <c r="O142" s="31">
        <f>9195</f>
        <v>9195</v>
      </c>
      <c r="P142" s="32" t="s">
        <v>674</v>
      </c>
      <c r="Q142" s="31">
        <f>10035</f>
        <v>10035</v>
      </c>
      <c r="R142" s="32" t="s">
        <v>777</v>
      </c>
      <c r="S142" s="33">
        <f>9865.81</f>
        <v>9865.81</v>
      </c>
      <c r="T142" s="30">
        <f>444499</f>
        <v>444499</v>
      </c>
      <c r="U142" s="30">
        <f>82850</f>
        <v>82850</v>
      </c>
      <c r="V142" s="30">
        <f>4311706007</f>
        <v>4311706007</v>
      </c>
      <c r="W142" s="30">
        <f>805266616</f>
        <v>805266616</v>
      </c>
      <c r="X142" s="34">
        <f>21</f>
        <v>21</v>
      </c>
    </row>
    <row r="143" spans="1:24">
      <c r="A143" s="25" t="s">
        <v>1201</v>
      </c>
      <c r="B143" s="25" t="s">
        <v>386</v>
      </c>
      <c r="C143" s="25" t="s">
        <v>387</v>
      </c>
      <c r="D143" s="25" t="s">
        <v>388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3215</f>
        <v>3215</v>
      </c>
      <c r="L143" s="32" t="s">
        <v>1110</v>
      </c>
      <c r="M143" s="31">
        <f>3215</f>
        <v>3215</v>
      </c>
      <c r="N143" s="32" t="s">
        <v>1110</v>
      </c>
      <c r="O143" s="31">
        <f>2833</f>
        <v>2833</v>
      </c>
      <c r="P143" s="32" t="s">
        <v>674</v>
      </c>
      <c r="Q143" s="31">
        <f>3035</f>
        <v>3035</v>
      </c>
      <c r="R143" s="32" t="s">
        <v>777</v>
      </c>
      <c r="S143" s="33">
        <f>3030.38</f>
        <v>3030.38</v>
      </c>
      <c r="T143" s="30">
        <f>6377824</f>
        <v>6377824</v>
      </c>
      <c r="U143" s="30">
        <f>4226</f>
        <v>4226</v>
      </c>
      <c r="V143" s="30">
        <f>19064009755</f>
        <v>19064009755</v>
      </c>
      <c r="W143" s="30">
        <f>13261112</f>
        <v>13261112</v>
      </c>
      <c r="X143" s="34">
        <f>21</f>
        <v>21</v>
      </c>
    </row>
    <row r="144" spans="1:24">
      <c r="A144" s="25" t="s">
        <v>1201</v>
      </c>
      <c r="B144" s="25" t="s">
        <v>389</v>
      </c>
      <c r="C144" s="25" t="s">
        <v>390</v>
      </c>
      <c r="D144" s="25" t="s">
        <v>391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35470</f>
        <v>35470</v>
      </c>
      <c r="L144" s="32" t="s">
        <v>1110</v>
      </c>
      <c r="M144" s="31">
        <f>35500</f>
        <v>35500</v>
      </c>
      <c r="N144" s="32" t="s">
        <v>1123</v>
      </c>
      <c r="O144" s="31">
        <f>32300</f>
        <v>32300</v>
      </c>
      <c r="P144" s="32" t="s">
        <v>1115</v>
      </c>
      <c r="Q144" s="31">
        <f>34040</f>
        <v>34040</v>
      </c>
      <c r="R144" s="32" t="s">
        <v>777</v>
      </c>
      <c r="S144" s="33">
        <f>33771.9</f>
        <v>33771.9</v>
      </c>
      <c r="T144" s="30">
        <f>6069</f>
        <v>6069</v>
      </c>
      <c r="U144" s="30" t="str">
        <f>"－"</f>
        <v>－</v>
      </c>
      <c r="V144" s="30">
        <f>204332710</f>
        <v>204332710</v>
      </c>
      <c r="W144" s="30" t="str">
        <f>"－"</f>
        <v>－</v>
      </c>
      <c r="X144" s="34">
        <f>21</f>
        <v>21</v>
      </c>
    </row>
    <row r="145" spans="1:24">
      <c r="A145" s="25" t="s">
        <v>1201</v>
      </c>
      <c r="B145" s="25" t="s">
        <v>392</v>
      </c>
      <c r="C145" s="25" t="s">
        <v>393</v>
      </c>
      <c r="D145" s="25" t="s">
        <v>394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10</v>
      </c>
      <c r="K145" s="31">
        <f>4035</f>
        <v>4035</v>
      </c>
      <c r="L145" s="32" t="s">
        <v>1110</v>
      </c>
      <c r="M145" s="31">
        <f>4035</f>
        <v>4035</v>
      </c>
      <c r="N145" s="32" t="s">
        <v>1110</v>
      </c>
      <c r="O145" s="31">
        <f>3559</f>
        <v>3559</v>
      </c>
      <c r="P145" s="32" t="s">
        <v>1115</v>
      </c>
      <c r="Q145" s="31">
        <f>3921</f>
        <v>3921</v>
      </c>
      <c r="R145" s="32" t="s">
        <v>777</v>
      </c>
      <c r="S145" s="33">
        <f>3847.76</f>
        <v>3847.76</v>
      </c>
      <c r="T145" s="30">
        <f>63700</f>
        <v>63700</v>
      </c>
      <c r="U145" s="30" t="str">
        <f>"－"</f>
        <v>－</v>
      </c>
      <c r="V145" s="30">
        <f>241495730</f>
        <v>241495730</v>
      </c>
      <c r="W145" s="30" t="str">
        <f>"－"</f>
        <v>－</v>
      </c>
      <c r="X145" s="34">
        <f>21</f>
        <v>21</v>
      </c>
    </row>
    <row r="146" spans="1:24">
      <c r="A146" s="25" t="s">
        <v>1201</v>
      </c>
      <c r="B146" s="25" t="s">
        <v>395</v>
      </c>
      <c r="C146" s="25" t="s">
        <v>396</v>
      </c>
      <c r="D146" s="25" t="s">
        <v>397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13935</f>
        <v>13935</v>
      </c>
      <c r="L146" s="32" t="s">
        <v>1110</v>
      </c>
      <c r="M146" s="31">
        <f>13935</f>
        <v>13935</v>
      </c>
      <c r="N146" s="32" t="s">
        <v>1110</v>
      </c>
      <c r="O146" s="31">
        <f>12070</f>
        <v>12070</v>
      </c>
      <c r="P146" s="32" t="s">
        <v>1124</v>
      </c>
      <c r="Q146" s="31">
        <f>12605</f>
        <v>12605</v>
      </c>
      <c r="R146" s="32" t="s">
        <v>777</v>
      </c>
      <c r="S146" s="33">
        <f>12737.14</f>
        <v>12737.14</v>
      </c>
      <c r="T146" s="30">
        <f>6666</f>
        <v>6666</v>
      </c>
      <c r="U146" s="30" t="str">
        <f>"－"</f>
        <v>－</v>
      </c>
      <c r="V146" s="30">
        <f>84776765</f>
        <v>84776765</v>
      </c>
      <c r="W146" s="30" t="str">
        <f>"－"</f>
        <v>－</v>
      </c>
      <c r="X146" s="34">
        <f>21</f>
        <v>21</v>
      </c>
    </row>
    <row r="147" spans="1:24">
      <c r="A147" s="25" t="s">
        <v>1201</v>
      </c>
      <c r="B147" s="25" t="s">
        <v>398</v>
      </c>
      <c r="C147" s="25" t="s">
        <v>399</v>
      </c>
      <c r="D147" s="25" t="s">
        <v>400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12995</f>
        <v>12995</v>
      </c>
      <c r="L147" s="32" t="s">
        <v>1110</v>
      </c>
      <c r="M147" s="31">
        <f>13475</f>
        <v>13475</v>
      </c>
      <c r="N147" s="32" t="s">
        <v>1115</v>
      </c>
      <c r="O147" s="31">
        <f>11225</f>
        <v>11225</v>
      </c>
      <c r="P147" s="32" t="s">
        <v>674</v>
      </c>
      <c r="Q147" s="31">
        <f>13035</f>
        <v>13035</v>
      </c>
      <c r="R147" s="32" t="s">
        <v>777</v>
      </c>
      <c r="S147" s="33">
        <f>12532.38</f>
        <v>12532.38</v>
      </c>
      <c r="T147" s="30">
        <f>6578</f>
        <v>6578</v>
      </c>
      <c r="U147" s="30" t="str">
        <f>"－"</f>
        <v>－</v>
      </c>
      <c r="V147" s="30">
        <f>82583815</f>
        <v>82583815</v>
      </c>
      <c r="W147" s="30" t="str">
        <f>"－"</f>
        <v>－</v>
      </c>
      <c r="X147" s="34">
        <f>21</f>
        <v>21</v>
      </c>
    </row>
    <row r="148" spans="1:24">
      <c r="A148" s="25" t="s">
        <v>1201</v>
      </c>
      <c r="B148" s="25" t="s">
        <v>401</v>
      </c>
      <c r="C148" s="25" t="s">
        <v>402</v>
      </c>
      <c r="D148" s="25" t="s">
        <v>403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</v>
      </c>
      <c r="K148" s="31">
        <f>22920</f>
        <v>22920</v>
      </c>
      <c r="L148" s="32" t="s">
        <v>1110</v>
      </c>
      <c r="M148" s="31">
        <f>23995</f>
        <v>23995</v>
      </c>
      <c r="N148" s="32" t="s">
        <v>874</v>
      </c>
      <c r="O148" s="31">
        <f>20195</f>
        <v>20195</v>
      </c>
      <c r="P148" s="32" t="s">
        <v>1115</v>
      </c>
      <c r="Q148" s="31">
        <f>22405</f>
        <v>22405</v>
      </c>
      <c r="R148" s="32" t="s">
        <v>777</v>
      </c>
      <c r="S148" s="33">
        <f>22185.26</f>
        <v>22185.26</v>
      </c>
      <c r="T148" s="30">
        <f>591</f>
        <v>591</v>
      </c>
      <c r="U148" s="30" t="str">
        <f>"－"</f>
        <v>－</v>
      </c>
      <c r="V148" s="30">
        <f>13169165</f>
        <v>13169165</v>
      </c>
      <c r="W148" s="30" t="str">
        <f>"－"</f>
        <v>－</v>
      </c>
      <c r="X148" s="34">
        <f>19</f>
        <v>19</v>
      </c>
    </row>
    <row r="149" spans="1:24">
      <c r="A149" s="25" t="s">
        <v>1201</v>
      </c>
      <c r="B149" s="25" t="s">
        <v>404</v>
      </c>
      <c r="C149" s="25" t="s">
        <v>405</v>
      </c>
      <c r="D149" s="25" t="s">
        <v>406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55500</f>
        <v>55500</v>
      </c>
      <c r="L149" s="32" t="s">
        <v>1110</v>
      </c>
      <c r="M149" s="31">
        <f>55970</f>
        <v>55970</v>
      </c>
      <c r="N149" s="32" t="s">
        <v>1116</v>
      </c>
      <c r="O149" s="31">
        <f>53860</f>
        <v>53860</v>
      </c>
      <c r="P149" s="32" t="s">
        <v>674</v>
      </c>
      <c r="Q149" s="31">
        <f>54910</f>
        <v>54910</v>
      </c>
      <c r="R149" s="32" t="s">
        <v>777</v>
      </c>
      <c r="S149" s="33">
        <f>55170.48</f>
        <v>55170.48</v>
      </c>
      <c r="T149" s="30">
        <f>3350</f>
        <v>3350</v>
      </c>
      <c r="U149" s="30">
        <f>10</f>
        <v>10</v>
      </c>
      <c r="V149" s="30">
        <f>184385200</f>
        <v>184385200</v>
      </c>
      <c r="W149" s="30">
        <f>556100</f>
        <v>556100</v>
      </c>
      <c r="X149" s="34">
        <f>21</f>
        <v>21</v>
      </c>
    </row>
    <row r="150" spans="1:24">
      <c r="A150" s="25" t="s">
        <v>1201</v>
      </c>
      <c r="B150" s="25" t="s">
        <v>407</v>
      </c>
      <c r="C150" s="25" t="s">
        <v>974</v>
      </c>
      <c r="D150" s="25" t="s">
        <v>408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386.3</f>
        <v>386.3</v>
      </c>
      <c r="L150" s="32" t="s">
        <v>1110</v>
      </c>
      <c r="M150" s="31">
        <f>386.4</f>
        <v>386.4</v>
      </c>
      <c r="N150" s="32" t="s">
        <v>1110</v>
      </c>
      <c r="O150" s="31">
        <f>339.8</f>
        <v>339.8</v>
      </c>
      <c r="P150" s="32" t="s">
        <v>674</v>
      </c>
      <c r="Q150" s="31">
        <f>368.4</f>
        <v>368.4</v>
      </c>
      <c r="R150" s="32" t="s">
        <v>777</v>
      </c>
      <c r="S150" s="33">
        <f>363.79</f>
        <v>363.79</v>
      </c>
      <c r="T150" s="30">
        <f>82164230</f>
        <v>82164230</v>
      </c>
      <c r="U150" s="30">
        <f>945440</f>
        <v>945440</v>
      </c>
      <c r="V150" s="30">
        <f>29842977597</f>
        <v>29842977597</v>
      </c>
      <c r="W150" s="30">
        <f>343023310</f>
        <v>343023310</v>
      </c>
      <c r="X150" s="34">
        <f>21</f>
        <v>21</v>
      </c>
    </row>
    <row r="151" spans="1:24">
      <c r="A151" s="25" t="s">
        <v>1201</v>
      </c>
      <c r="B151" s="25" t="s">
        <v>409</v>
      </c>
      <c r="C151" s="25" t="s">
        <v>975</v>
      </c>
      <c r="D151" s="25" t="s">
        <v>410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50960</f>
        <v>50960</v>
      </c>
      <c r="L151" s="32" t="s">
        <v>1110</v>
      </c>
      <c r="M151" s="31">
        <f>51330</f>
        <v>51330</v>
      </c>
      <c r="N151" s="32" t="s">
        <v>1110</v>
      </c>
      <c r="O151" s="31">
        <f>47050</f>
        <v>47050</v>
      </c>
      <c r="P151" s="32" t="s">
        <v>674</v>
      </c>
      <c r="Q151" s="31">
        <f>50190</f>
        <v>50190</v>
      </c>
      <c r="R151" s="32" t="s">
        <v>777</v>
      </c>
      <c r="S151" s="33">
        <f>49312.38</f>
        <v>49312.38</v>
      </c>
      <c r="T151" s="30">
        <f>5640</f>
        <v>5640</v>
      </c>
      <c r="U151" s="30">
        <f>40</f>
        <v>40</v>
      </c>
      <c r="V151" s="30">
        <f>275676200</f>
        <v>275676200</v>
      </c>
      <c r="W151" s="30">
        <f>1983200</f>
        <v>1983200</v>
      </c>
      <c r="X151" s="34">
        <f>21</f>
        <v>21</v>
      </c>
    </row>
    <row r="152" spans="1:24">
      <c r="A152" s="25" t="s">
        <v>1201</v>
      </c>
      <c r="B152" s="25" t="s">
        <v>411</v>
      </c>
      <c r="C152" s="25" t="s">
        <v>412</v>
      </c>
      <c r="D152" s="25" t="s">
        <v>976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5711</f>
        <v>5711</v>
      </c>
      <c r="L152" s="32" t="s">
        <v>1110</v>
      </c>
      <c r="M152" s="31">
        <f>5732</f>
        <v>5732</v>
      </c>
      <c r="N152" s="32" t="s">
        <v>1110</v>
      </c>
      <c r="O152" s="31">
        <f>5098</f>
        <v>5098</v>
      </c>
      <c r="P152" s="32" t="s">
        <v>674</v>
      </c>
      <c r="Q152" s="31">
        <f>5637</f>
        <v>5637</v>
      </c>
      <c r="R152" s="32" t="s">
        <v>777</v>
      </c>
      <c r="S152" s="33">
        <f>5528.29</f>
        <v>5528.29</v>
      </c>
      <c r="T152" s="30">
        <f>86190</f>
        <v>86190</v>
      </c>
      <c r="U152" s="30">
        <f>10</f>
        <v>10</v>
      </c>
      <c r="V152" s="30">
        <f>471446270</f>
        <v>471446270</v>
      </c>
      <c r="W152" s="30">
        <f>52500</f>
        <v>52500</v>
      </c>
      <c r="X152" s="34">
        <f>21</f>
        <v>21</v>
      </c>
    </row>
    <row r="153" spans="1:24">
      <c r="A153" s="25" t="s">
        <v>1201</v>
      </c>
      <c r="B153" s="25" t="s">
        <v>413</v>
      </c>
      <c r="C153" s="25" t="s">
        <v>977</v>
      </c>
      <c r="D153" s="25" t="s">
        <v>978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2088</f>
        <v>2088</v>
      </c>
      <c r="L153" s="32" t="s">
        <v>1110</v>
      </c>
      <c r="M153" s="31">
        <f>2088</f>
        <v>2088</v>
      </c>
      <c r="N153" s="32" t="s">
        <v>1110</v>
      </c>
      <c r="O153" s="31">
        <f>1825</f>
        <v>1825</v>
      </c>
      <c r="P153" s="32" t="s">
        <v>674</v>
      </c>
      <c r="Q153" s="31">
        <f>2003</f>
        <v>2003</v>
      </c>
      <c r="R153" s="32" t="s">
        <v>777</v>
      </c>
      <c r="S153" s="33">
        <f>2005.76</f>
        <v>2005.76</v>
      </c>
      <c r="T153" s="30">
        <f>130450</f>
        <v>130450</v>
      </c>
      <c r="U153" s="30">
        <f>19450</f>
        <v>19450</v>
      </c>
      <c r="V153" s="30">
        <f>263274215</f>
        <v>263274215</v>
      </c>
      <c r="W153" s="30">
        <f>39945715</f>
        <v>39945715</v>
      </c>
      <c r="X153" s="34">
        <f>21</f>
        <v>21</v>
      </c>
    </row>
    <row r="154" spans="1:24">
      <c r="A154" s="25" t="s">
        <v>1201</v>
      </c>
      <c r="B154" s="25" t="s">
        <v>414</v>
      </c>
      <c r="C154" s="25" t="s">
        <v>415</v>
      </c>
      <c r="D154" s="25" t="s">
        <v>416</v>
      </c>
      <c r="E154" s="26" t="s">
        <v>1125</v>
      </c>
      <c r="F154" s="27" t="s">
        <v>1126</v>
      </c>
      <c r="G154" s="28" t="s">
        <v>1202</v>
      </c>
      <c r="H154" s="29" t="s">
        <v>761</v>
      </c>
      <c r="I154" s="29"/>
      <c r="J154" s="30">
        <v>100</v>
      </c>
      <c r="K154" s="31">
        <f>256.7</f>
        <v>256.7</v>
      </c>
      <c r="L154" s="32" t="s">
        <v>1110</v>
      </c>
      <c r="M154" s="31">
        <f>256.7</f>
        <v>256.7</v>
      </c>
      <c r="N154" s="32" t="s">
        <v>1110</v>
      </c>
      <c r="O154" s="31">
        <f>210.2</f>
        <v>210.2</v>
      </c>
      <c r="P154" s="32" t="s">
        <v>1124</v>
      </c>
      <c r="Q154" s="31">
        <f>236.8</f>
        <v>236.8</v>
      </c>
      <c r="R154" s="32" t="s">
        <v>760</v>
      </c>
      <c r="S154" s="33">
        <f>230.58</f>
        <v>230.58</v>
      </c>
      <c r="T154" s="30">
        <f>322400</f>
        <v>322400</v>
      </c>
      <c r="U154" s="30">
        <f>4500</f>
        <v>4500</v>
      </c>
      <c r="V154" s="30">
        <f>74594510</f>
        <v>74594510</v>
      </c>
      <c r="W154" s="30">
        <f>1056960</f>
        <v>1056960</v>
      </c>
      <c r="X154" s="34">
        <f>11</f>
        <v>11</v>
      </c>
    </row>
    <row r="155" spans="1:24">
      <c r="A155" s="25" t="s">
        <v>1201</v>
      </c>
      <c r="B155" s="25" t="s">
        <v>417</v>
      </c>
      <c r="C155" s="25" t="s">
        <v>418</v>
      </c>
      <c r="D155" s="25" t="s">
        <v>419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1603.5</f>
        <v>1603.5</v>
      </c>
      <c r="L155" s="32" t="s">
        <v>1110</v>
      </c>
      <c r="M155" s="31">
        <f>1637</f>
        <v>1637</v>
      </c>
      <c r="N155" s="32" t="s">
        <v>1110</v>
      </c>
      <c r="O155" s="31">
        <f>1517</f>
        <v>1517</v>
      </c>
      <c r="P155" s="32" t="s">
        <v>1124</v>
      </c>
      <c r="Q155" s="31">
        <f>1569</f>
        <v>1569</v>
      </c>
      <c r="R155" s="32" t="s">
        <v>777</v>
      </c>
      <c r="S155" s="33">
        <f>1563.06</f>
        <v>1563.06</v>
      </c>
      <c r="T155" s="30">
        <f>5710</f>
        <v>5710</v>
      </c>
      <c r="U155" s="30" t="str">
        <f t="shared" ref="U155:U168" si="1">"－"</f>
        <v>－</v>
      </c>
      <c r="V155" s="30">
        <f>9045515</f>
        <v>9045515</v>
      </c>
      <c r="W155" s="30" t="str">
        <f t="shared" ref="W155:W168" si="2">"－"</f>
        <v>－</v>
      </c>
      <c r="X155" s="34">
        <f>18</f>
        <v>18</v>
      </c>
    </row>
    <row r="156" spans="1:24">
      <c r="A156" s="25" t="s">
        <v>1201</v>
      </c>
      <c r="B156" s="25" t="s">
        <v>420</v>
      </c>
      <c r="C156" s="25" t="s">
        <v>421</v>
      </c>
      <c r="D156" s="25" t="s">
        <v>422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546.7</f>
        <v>546.70000000000005</v>
      </c>
      <c r="L156" s="32" t="s">
        <v>1110</v>
      </c>
      <c r="M156" s="31">
        <f>546.7</f>
        <v>546.70000000000005</v>
      </c>
      <c r="N156" s="32" t="s">
        <v>1110</v>
      </c>
      <c r="O156" s="31">
        <f>484.8</f>
        <v>484.8</v>
      </c>
      <c r="P156" s="32" t="s">
        <v>674</v>
      </c>
      <c r="Q156" s="31">
        <f>513.2</f>
        <v>513.20000000000005</v>
      </c>
      <c r="R156" s="32" t="s">
        <v>777</v>
      </c>
      <c r="S156" s="33">
        <f>514.36</f>
        <v>514.36</v>
      </c>
      <c r="T156" s="30">
        <f>38130</f>
        <v>38130</v>
      </c>
      <c r="U156" s="30" t="str">
        <f t="shared" si="1"/>
        <v>－</v>
      </c>
      <c r="V156" s="30">
        <f>19582148</f>
        <v>19582148</v>
      </c>
      <c r="W156" s="30" t="str">
        <f t="shared" si="2"/>
        <v>－</v>
      </c>
      <c r="X156" s="34">
        <f>21</f>
        <v>21</v>
      </c>
    </row>
    <row r="157" spans="1:24">
      <c r="A157" s="25" t="s">
        <v>1201</v>
      </c>
      <c r="B157" s="25" t="s">
        <v>423</v>
      </c>
      <c r="C157" s="25" t="s">
        <v>424</v>
      </c>
      <c r="D157" s="25" t="s">
        <v>425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2229</f>
        <v>2229</v>
      </c>
      <c r="L157" s="32" t="s">
        <v>1110</v>
      </c>
      <c r="M157" s="31">
        <f>2248.5</f>
        <v>2248.5</v>
      </c>
      <c r="N157" s="32" t="s">
        <v>1111</v>
      </c>
      <c r="O157" s="31">
        <f>2002.5</f>
        <v>2002.5</v>
      </c>
      <c r="P157" s="32" t="s">
        <v>1115</v>
      </c>
      <c r="Q157" s="31">
        <f>2195</f>
        <v>2195</v>
      </c>
      <c r="R157" s="32" t="s">
        <v>777</v>
      </c>
      <c r="S157" s="33">
        <f>2156.74</f>
        <v>2156.7399999999998</v>
      </c>
      <c r="T157" s="30">
        <f>5350</f>
        <v>5350</v>
      </c>
      <c r="U157" s="30" t="str">
        <f t="shared" si="1"/>
        <v>－</v>
      </c>
      <c r="V157" s="30">
        <f>11500015</f>
        <v>11500015</v>
      </c>
      <c r="W157" s="30" t="str">
        <f t="shared" si="2"/>
        <v>－</v>
      </c>
      <c r="X157" s="34">
        <f>21</f>
        <v>21</v>
      </c>
    </row>
    <row r="158" spans="1:24">
      <c r="A158" s="25" t="s">
        <v>1201</v>
      </c>
      <c r="B158" s="25" t="s">
        <v>426</v>
      </c>
      <c r="C158" s="25" t="s">
        <v>427</v>
      </c>
      <c r="D158" s="25" t="s">
        <v>428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855.5</f>
        <v>855.5</v>
      </c>
      <c r="L158" s="32" t="s">
        <v>1110</v>
      </c>
      <c r="M158" s="31">
        <f>982</f>
        <v>982</v>
      </c>
      <c r="N158" s="32" t="s">
        <v>1113</v>
      </c>
      <c r="O158" s="31">
        <f>795.8</f>
        <v>795.8</v>
      </c>
      <c r="P158" s="32" t="s">
        <v>676</v>
      </c>
      <c r="Q158" s="31">
        <f>827</f>
        <v>827</v>
      </c>
      <c r="R158" s="32" t="s">
        <v>777</v>
      </c>
      <c r="S158" s="33">
        <f>820.28</f>
        <v>820.28</v>
      </c>
      <c r="T158" s="30">
        <f>50810</f>
        <v>50810</v>
      </c>
      <c r="U158" s="30" t="str">
        <f t="shared" si="1"/>
        <v>－</v>
      </c>
      <c r="V158" s="30">
        <f>41730658</f>
        <v>41730658</v>
      </c>
      <c r="W158" s="30" t="str">
        <f t="shared" si="2"/>
        <v>－</v>
      </c>
      <c r="X158" s="34">
        <f>21</f>
        <v>21</v>
      </c>
    </row>
    <row r="159" spans="1:24">
      <c r="A159" s="25" t="s">
        <v>1201</v>
      </c>
      <c r="B159" s="25" t="s">
        <v>429</v>
      </c>
      <c r="C159" s="25" t="s">
        <v>430</v>
      </c>
      <c r="D159" s="25" t="s">
        <v>431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519.9</f>
        <v>519.9</v>
      </c>
      <c r="L159" s="32" t="s">
        <v>1110</v>
      </c>
      <c r="M159" s="31">
        <f>521</f>
        <v>521</v>
      </c>
      <c r="N159" s="32" t="s">
        <v>1110</v>
      </c>
      <c r="O159" s="31">
        <f>468.8</f>
        <v>468.8</v>
      </c>
      <c r="P159" s="32" t="s">
        <v>676</v>
      </c>
      <c r="Q159" s="31">
        <f>490.5</f>
        <v>490.5</v>
      </c>
      <c r="R159" s="32" t="s">
        <v>777</v>
      </c>
      <c r="S159" s="33">
        <f>491.5</f>
        <v>491.5</v>
      </c>
      <c r="T159" s="30">
        <f>155240</f>
        <v>155240</v>
      </c>
      <c r="U159" s="30" t="str">
        <f t="shared" si="1"/>
        <v>－</v>
      </c>
      <c r="V159" s="30">
        <f>76530623</f>
        <v>76530623</v>
      </c>
      <c r="W159" s="30" t="str">
        <f t="shared" si="2"/>
        <v>－</v>
      </c>
      <c r="X159" s="34">
        <f>21</f>
        <v>21</v>
      </c>
    </row>
    <row r="160" spans="1:24">
      <c r="A160" s="25" t="s">
        <v>1201</v>
      </c>
      <c r="B160" s="25" t="s">
        <v>432</v>
      </c>
      <c r="C160" s="25" t="s">
        <v>433</v>
      </c>
      <c r="D160" s="25" t="s">
        <v>434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1075</f>
        <v>1075</v>
      </c>
      <c r="L160" s="32" t="s">
        <v>1110</v>
      </c>
      <c r="M160" s="31">
        <f>1091</f>
        <v>1091</v>
      </c>
      <c r="N160" s="32" t="s">
        <v>1123</v>
      </c>
      <c r="O160" s="31">
        <f>920</f>
        <v>920</v>
      </c>
      <c r="P160" s="32" t="s">
        <v>674</v>
      </c>
      <c r="Q160" s="31">
        <f>984</f>
        <v>984</v>
      </c>
      <c r="R160" s="32" t="s">
        <v>777</v>
      </c>
      <c r="S160" s="33">
        <f>1020.29</f>
        <v>1020.29</v>
      </c>
      <c r="T160" s="30">
        <f>1196610</f>
        <v>1196610</v>
      </c>
      <c r="U160" s="30" t="str">
        <f t="shared" si="1"/>
        <v>－</v>
      </c>
      <c r="V160" s="30">
        <f>1206659641</f>
        <v>1206659641</v>
      </c>
      <c r="W160" s="30" t="str">
        <f t="shared" si="2"/>
        <v>－</v>
      </c>
      <c r="X160" s="34">
        <f>21</f>
        <v>21</v>
      </c>
    </row>
    <row r="161" spans="1:24">
      <c r="A161" s="25" t="s">
        <v>1201</v>
      </c>
      <c r="B161" s="25" t="s">
        <v>435</v>
      </c>
      <c r="C161" s="25" t="s">
        <v>436</v>
      </c>
      <c r="D161" s="25" t="s">
        <v>437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</v>
      </c>
      <c r="K161" s="31">
        <f>1490.5</f>
        <v>1490.5</v>
      </c>
      <c r="L161" s="32" t="s">
        <v>1110</v>
      </c>
      <c r="M161" s="31">
        <f>1540.5</f>
        <v>1540.5</v>
      </c>
      <c r="N161" s="32" t="s">
        <v>1110</v>
      </c>
      <c r="O161" s="31">
        <f>1334</f>
        <v>1334</v>
      </c>
      <c r="P161" s="32" t="s">
        <v>1124</v>
      </c>
      <c r="Q161" s="31">
        <f>1458</f>
        <v>1458</v>
      </c>
      <c r="R161" s="32" t="s">
        <v>777</v>
      </c>
      <c r="S161" s="33">
        <f>1454.81</f>
        <v>1454.81</v>
      </c>
      <c r="T161" s="30">
        <f>51300</f>
        <v>51300</v>
      </c>
      <c r="U161" s="30" t="str">
        <f t="shared" si="1"/>
        <v>－</v>
      </c>
      <c r="V161" s="30">
        <f>74045085</f>
        <v>74045085</v>
      </c>
      <c r="W161" s="30" t="str">
        <f t="shared" si="2"/>
        <v>－</v>
      </c>
      <c r="X161" s="34">
        <f>21</f>
        <v>21</v>
      </c>
    </row>
    <row r="162" spans="1:24">
      <c r="A162" s="25" t="s">
        <v>1201</v>
      </c>
      <c r="B162" s="25" t="s">
        <v>438</v>
      </c>
      <c r="C162" s="25" t="s">
        <v>439</v>
      </c>
      <c r="D162" s="25" t="s">
        <v>440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</v>
      </c>
      <c r="K162" s="31">
        <f>8409</f>
        <v>8409</v>
      </c>
      <c r="L162" s="32" t="s">
        <v>1110</v>
      </c>
      <c r="M162" s="31">
        <f>8409</f>
        <v>8409</v>
      </c>
      <c r="N162" s="32" t="s">
        <v>1110</v>
      </c>
      <c r="O162" s="31">
        <f>7417</f>
        <v>7417</v>
      </c>
      <c r="P162" s="32" t="s">
        <v>874</v>
      </c>
      <c r="Q162" s="31">
        <f>7592</f>
        <v>7592</v>
      </c>
      <c r="R162" s="32" t="s">
        <v>777</v>
      </c>
      <c r="S162" s="33">
        <f>7773.89</f>
        <v>7773.89</v>
      </c>
      <c r="T162" s="30">
        <f>1659</f>
        <v>1659</v>
      </c>
      <c r="U162" s="30" t="str">
        <f t="shared" si="1"/>
        <v>－</v>
      </c>
      <c r="V162" s="30">
        <f>12877606</f>
        <v>12877606</v>
      </c>
      <c r="W162" s="30" t="str">
        <f t="shared" si="2"/>
        <v>－</v>
      </c>
      <c r="X162" s="34">
        <f>19</f>
        <v>19</v>
      </c>
    </row>
    <row r="163" spans="1:24">
      <c r="A163" s="25" t="s">
        <v>1201</v>
      </c>
      <c r="B163" s="25" t="s">
        <v>441</v>
      </c>
      <c r="C163" s="25" t="s">
        <v>442</v>
      </c>
      <c r="D163" s="25" t="s">
        <v>443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100</v>
      </c>
      <c r="K163" s="31">
        <f>461.3</f>
        <v>461.3</v>
      </c>
      <c r="L163" s="32" t="s">
        <v>1110</v>
      </c>
      <c r="M163" s="31">
        <f>510</f>
        <v>510</v>
      </c>
      <c r="N163" s="32" t="s">
        <v>1113</v>
      </c>
      <c r="O163" s="31">
        <f>421</f>
        <v>421</v>
      </c>
      <c r="P163" s="32" t="s">
        <v>674</v>
      </c>
      <c r="Q163" s="31">
        <f>470</f>
        <v>470</v>
      </c>
      <c r="R163" s="32" t="s">
        <v>777</v>
      </c>
      <c r="S163" s="33">
        <f>458.5</f>
        <v>458.5</v>
      </c>
      <c r="T163" s="30">
        <f>222300</f>
        <v>222300</v>
      </c>
      <c r="U163" s="30" t="str">
        <f t="shared" si="1"/>
        <v>－</v>
      </c>
      <c r="V163" s="30">
        <f>101912410</f>
        <v>101912410</v>
      </c>
      <c r="W163" s="30" t="str">
        <f t="shared" si="2"/>
        <v>－</v>
      </c>
      <c r="X163" s="34">
        <f>21</f>
        <v>21</v>
      </c>
    </row>
    <row r="164" spans="1:24">
      <c r="A164" s="25" t="s">
        <v>1201</v>
      </c>
      <c r="B164" s="25" t="s">
        <v>444</v>
      </c>
      <c r="C164" s="25" t="s">
        <v>445</v>
      </c>
      <c r="D164" s="25" t="s">
        <v>446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</v>
      </c>
      <c r="K164" s="31">
        <f>5672</f>
        <v>5672</v>
      </c>
      <c r="L164" s="32" t="s">
        <v>1110</v>
      </c>
      <c r="M164" s="31">
        <f>5676</f>
        <v>5676</v>
      </c>
      <c r="N164" s="32" t="s">
        <v>1110</v>
      </c>
      <c r="O164" s="31">
        <f>5178</f>
        <v>5178</v>
      </c>
      <c r="P164" s="32" t="s">
        <v>1113</v>
      </c>
      <c r="Q164" s="31">
        <f>5535</f>
        <v>5535</v>
      </c>
      <c r="R164" s="32" t="s">
        <v>777</v>
      </c>
      <c r="S164" s="33">
        <f>5452.95</f>
        <v>5452.95</v>
      </c>
      <c r="T164" s="30">
        <f>105580</f>
        <v>105580</v>
      </c>
      <c r="U164" s="30" t="str">
        <f t="shared" si="1"/>
        <v>－</v>
      </c>
      <c r="V164" s="30">
        <f>575562840</f>
        <v>575562840</v>
      </c>
      <c r="W164" s="30" t="str">
        <f t="shared" si="2"/>
        <v>－</v>
      </c>
      <c r="X164" s="34">
        <f>21</f>
        <v>21</v>
      </c>
    </row>
    <row r="165" spans="1:24">
      <c r="A165" s="25" t="s">
        <v>1201</v>
      </c>
      <c r="B165" s="25" t="s">
        <v>447</v>
      </c>
      <c r="C165" s="25" t="s">
        <v>448</v>
      </c>
      <c r="D165" s="25" t="s">
        <v>449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10</v>
      </c>
      <c r="K165" s="31">
        <f>2315</f>
        <v>2315</v>
      </c>
      <c r="L165" s="32" t="s">
        <v>1110</v>
      </c>
      <c r="M165" s="31">
        <f>2340</f>
        <v>2340</v>
      </c>
      <c r="N165" s="32" t="s">
        <v>1110</v>
      </c>
      <c r="O165" s="31">
        <f>2100.5</f>
        <v>2100.5</v>
      </c>
      <c r="P165" s="32" t="s">
        <v>1124</v>
      </c>
      <c r="Q165" s="31">
        <f>2244.5</f>
        <v>2244.5</v>
      </c>
      <c r="R165" s="32" t="s">
        <v>777</v>
      </c>
      <c r="S165" s="33">
        <f>2202.48</f>
        <v>2202.48</v>
      </c>
      <c r="T165" s="30">
        <f>17770</f>
        <v>17770</v>
      </c>
      <c r="U165" s="30" t="str">
        <f t="shared" si="1"/>
        <v>－</v>
      </c>
      <c r="V165" s="30">
        <f>39168825</f>
        <v>39168825</v>
      </c>
      <c r="W165" s="30" t="str">
        <f t="shared" si="2"/>
        <v>－</v>
      </c>
      <c r="X165" s="34">
        <f>21</f>
        <v>21</v>
      </c>
    </row>
    <row r="166" spans="1:24">
      <c r="A166" s="25" t="s">
        <v>1201</v>
      </c>
      <c r="B166" s="25" t="s">
        <v>450</v>
      </c>
      <c r="C166" s="25" t="s">
        <v>451</v>
      </c>
      <c r="D166" s="25" t="s">
        <v>452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</v>
      </c>
      <c r="K166" s="31">
        <f>3155</f>
        <v>3155</v>
      </c>
      <c r="L166" s="32" t="s">
        <v>1110</v>
      </c>
      <c r="M166" s="31">
        <f>3200</f>
        <v>3200</v>
      </c>
      <c r="N166" s="32" t="s">
        <v>1123</v>
      </c>
      <c r="O166" s="31">
        <f>2900</f>
        <v>2900</v>
      </c>
      <c r="P166" s="32" t="s">
        <v>676</v>
      </c>
      <c r="Q166" s="31">
        <f>3050</f>
        <v>3050</v>
      </c>
      <c r="R166" s="32" t="s">
        <v>777</v>
      </c>
      <c r="S166" s="33">
        <f>3072.9</f>
        <v>3072.9</v>
      </c>
      <c r="T166" s="30">
        <f>402078</f>
        <v>402078</v>
      </c>
      <c r="U166" s="30" t="str">
        <f t="shared" si="1"/>
        <v>－</v>
      </c>
      <c r="V166" s="30">
        <f>1235678608</f>
        <v>1235678608</v>
      </c>
      <c r="W166" s="30" t="str">
        <f t="shared" si="2"/>
        <v>－</v>
      </c>
      <c r="X166" s="34">
        <f>21</f>
        <v>21</v>
      </c>
    </row>
    <row r="167" spans="1:24">
      <c r="A167" s="25" t="s">
        <v>1201</v>
      </c>
      <c r="B167" s="25" t="s">
        <v>453</v>
      </c>
      <c r="C167" s="25" t="s">
        <v>454</v>
      </c>
      <c r="D167" s="25" t="s">
        <v>455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</v>
      </c>
      <c r="K167" s="31">
        <f>2809</f>
        <v>2809</v>
      </c>
      <c r="L167" s="32" t="s">
        <v>1110</v>
      </c>
      <c r="M167" s="31">
        <f>2815</f>
        <v>2815</v>
      </c>
      <c r="N167" s="32" t="s">
        <v>1110</v>
      </c>
      <c r="O167" s="31">
        <f>2612</f>
        <v>2612</v>
      </c>
      <c r="P167" s="32" t="s">
        <v>1111</v>
      </c>
      <c r="Q167" s="31">
        <f>2696</f>
        <v>2696</v>
      </c>
      <c r="R167" s="32" t="s">
        <v>777</v>
      </c>
      <c r="S167" s="33">
        <f>2718.95</f>
        <v>2718.95</v>
      </c>
      <c r="T167" s="30">
        <f>34230</f>
        <v>34230</v>
      </c>
      <c r="U167" s="30" t="str">
        <f t="shared" si="1"/>
        <v>－</v>
      </c>
      <c r="V167" s="30">
        <f>93365957</f>
        <v>93365957</v>
      </c>
      <c r="W167" s="30" t="str">
        <f t="shared" si="2"/>
        <v>－</v>
      </c>
      <c r="X167" s="34">
        <f>21</f>
        <v>21</v>
      </c>
    </row>
    <row r="168" spans="1:24">
      <c r="A168" s="25" t="s">
        <v>1201</v>
      </c>
      <c r="B168" s="25" t="s">
        <v>456</v>
      </c>
      <c r="C168" s="25" t="s">
        <v>457</v>
      </c>
      <c r="D168" s="25" t="s">
        <v>458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3831</f>
        <v>3831</v>
      </c>
      <c r="L168" s="32" t="s">
        <v>1110</v>
      </c>
      <c r="M168" s="31">
        <f>3999</f>
        <v>3999</v>
      </c>
      <c r="N168" s="32" t="s">
        <v>1110</v>
      </c>
      <c r="O168" s="31">
        <f>3525</f>
        <v>3525</v>
      </c>
      <c r="P168" s="32" t="s">
        <v>680</v>
      </c>
      <c r="Q168" s="31">
        <f>3650</f>
        <v>3650</v>
      </c>
      <c r="R168" s="32" t="s">
        <v>777</v>
      </c>
      <c r="S168" s="33">
        <f>3703.81</f>
        <v>3703.81</v>
      </c>
      <c r="T168" s="30">
        <f>30140</f>
        <v>30140</v>
      </c>
      <c r="U168" s="30" t="str">
        <f t="shared" si="1"/>
        <v>－</v>
      </c>
      <c r="V168" s="30">
        <f>110742460</f>
        <v>110742460</v>
      </c>
      <c r="W168" s="30" t="str">
        <f t="shared" si="2"/>
        <v>－</v>
      </c>
      <c r="X168" s="34">
        <f>21</f>
        <v>21</v>
      </c>
    </row>
    <row r="169" spans="1:24">
      <c r="A169" s="25" t="s">
        <v>1201</v>
      </c>
      <c r="B169" s="25" t="s">
        <v>459</v>
      </c>
      <c r="C169" s="25" t="s">
        <v>460</v>
      </c>
      <c r="D169" s="25" t="s">
        <v>979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3075</f>
        <v>3075</v>
      </c>
      <c r="L169" s="32" t="s">
        <v>1110</v>
      </c>
      <c r="M169" s="31">
        <f>3089</f>
        <v>3089</v>
      </c>
      <c r="N169" s="32" t="s">
        <v>1124</v>
      </c>
      <c r="O169" s="31">
        <f>2665</f>
        <v>2665</v>
      </c>
      <c r="P169" s="32" t="s">
        <v>1115</v>
      </c>
      <c r="Q169" s="31">
        <f>2980</f>
        <v>2980</v>
      </c>
      <c r="R169" s="32" t="s">
        <v>777</v>
      </c>
      <c r="S169" s="33">
        <f>2906.81</f>
        <v>2906.81</v>
      </c>
      <c r="T169" s="30">
        <f>316630</f>
        <v>316630</v>
      </c>
      <c r="U169" s="30">
        <f>36810</f>
        <v>36810</v>
      </c>
      <c r="V169" s="30">
        <f>902051239</f>
        <v>902051239</v>
      </c>
      <c r="W169" s="30">
        <f>101270274</f>
        <v>101270274</v>
      </c>
      <c r="X169" s="34">
        <f>21</f>
        <v>21</v>
      </c>
    </row>
    <row r="170" spans="1:24">
      <c r="A170" s="25" t="s">
        <v>1201</v>
      </c>
      <c r="B170" s="25" t="s">
        <v>461</v>
      </c>
      <c r="C170" s="25" t="s">
        <v>980</v>
      </c>
      <c r="D170" s="25" t="s">
        <v>981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424.9</f>
        <v>424.9</v>
      </c>
      <c r="L170" s="32" t="s">
        <v>1110</v>
      </c>
      <c r="M170" s="31">
        <f>425</f>
        <v>425</v>
      </c>
      <c r="N170" s="32" t="s">
        <v>1110</v>
      </c>
      <c r="O170" s="31">
        <f>376.1</f>
        <v>376.1</v>
      </c>
      <c r="P170" s="32" t="s">
        <v>674</v>
      </c>
      <c r="Q170" s="31">
        <f>402</f>
        <v>402</v>
      </c>
      <c r="R170" s="32" t="s">
        <v>777</v>
      </c>
      <c r="S170" s="33">
        <f>401.36</f>
        <v>401.36</v>
      </c>
      <c r="T170" s="30">
        <f>23007320</f>
        <v>23007320</v>
      </c>
      <c r="U170" s="30">
        <f>3570</f>
        <v>3570</v>
      </c>
      <c r="V170" s="30">
        <f>9238329082</f>
        <v>9238329082</v>
      </c>
      <c r="W170" s="30">
        <f>1447130</f>
        <v>1447130</v>
      </c>
      <c r="X170" s="34">
        <f>21</f>
        <v>21</v>
      </c>
    </row>
    <row r="171" spans="1:24">
      <c r="A171" s="25" t="s">
        <v>1201</v>
      </c>
      <c r="B171" s="25" t="s">
        <v>1132</v>
      </c>
      <c r="C171" s="25" t="s">
        <v>1131</v>
      </c>
      <c r="D171" s="25" t="s">
        <v>1130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</v>
      </c>
      <c r="K171" s="31">
        <f>2049</f>
        <v>2049</v>
      </c>
      <c r="L171" s="32" t="s">
        <v>1110</v>
      </c>
      <c r="M171" s="31">
        <f>2049</f>
        <v>2049</v>
      </c>
      <c r="N171" s="32" t="s">
        <v>1110</v>
      </c>
      <c r="O171" s="31">
        <f>1620</f>
        <v>1620</v>
      </c>
      <c r="P171" s="32" t="s">
        <v>674</v>
      </c>
      <c r="Q171" s="31">
        <f>1973</f>
        <v>1973</v>
      </c>
      <c r="R171" s="32" t="s">
        <v>777</v>
      </c>
      <c r="S171" s="33">
        <f>1891.71</f>
        <v>1891.71</v>
      </c>
      <c r="T171" s="30">
        <f>45024</f>
        <v>45024</v>
      </c>
      <c r="U171" s="30" t="str">
        <f>"－"</f>
        <v>－</v>
      </c>
      <c r="V171" s="30">
        <f>85133103</f>
        <v>85133103</v>
      </c>
      <c r="W171" s="30" t="str">
        <f>"－"</f>
        <v>－</v>
      </c>
      <c r="X171" s="34">
        <f>21</f>
        <v>21</v>
      </c>
    </row>
    <row r="172" spans="1:24">
      <c r="A172" s="25" t="s">
        <v>1201</v>
      </c>
      <c r="B172" s="25" t="s">
        <v>1147</v>
      </c>
      <c r="C172" s="25" t="s">
        <v>1148</v>
      </c>
      <c r="D172" s="25" t="s">
        <v>1149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</v>
      </c>
      <c r="K172" s="31">
        <f>1084</f>
        <v>1084</v>
      </c>
      <c r="L172" s="32" t="s">
        <v>1110</v>
      </c>
      <c r="M172" s="31">
        <f>1088</f>
        <v>1088</v>
      </c>
      <c r="N172" s="32" t="s">
        <v>1110</v>
      </c>
      <c r="O172" s="31">
        <f>897</f>
        <v>897</v>
      </c>
      <c r="P172" s="32" t="s">
        <v>674</v>
      </c>
      <c r="Q172" s="31">
        <f>1038</f>
        <v>1038</v>
      </c>
      <c r="R172" s="32" t="s">
        <v>777</v>
      </c>
      <c r="S172" s="33">
        <f>1029.57</f>
        <v>1029.57</v>
      </c>
      <c r="T172" s="30">
        <f>3390844</f>
        <v>3390844</v>
      </c>
      <c r="U172" s="30">
        <f>876</f>
        <v>876</v>
      </c>
      <c r="V172" s="30">
        <f>3408035252</f>
        <v>3408035252</v>
      </c>
      <c r="W172" s="30">
        <f>936546</f>
        <v>936546</v>
      </c>
      <c r="X172" s="34">
        <f>21</f>
        <v>21</v>
      </c>
    </row>
    <row r="173" spans="1:24">
      <c r="A173" s="25" t="s">
        <v>1201</v>
      </c>
      <c r="B173" s="25" t="s">
        <v>1151</v>
      </c>
      <c r="C173" s="25" t="s">
        <v>1152</v>
      </c>
      <c r="D173" s="25" t="s">
        <v>1153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307</f>
        <v>307</v>
      </c>
      <c r="L173" s="32" t="s">
        <v>1110</v>
      </c>
      <c r="M173" s="31">
        <f>322.7</f>
        <v>322.7</v>
      </c>
      <c r="N173" s="32" t="s">
        <v>674</v>
      </c>
      <c r="O173" s="31">
        <f>305.1</f>
        <v>305.10000000000002</v>
      </c>
      <c r="P173" s="32" t="s">
        <v>1110</v>
      </c>
      <c r="Q173" s="31">
        <f>311.9</f>
        <v>311.89999999999998</v>
      </c>
      <c r="R173" s="32" t="s">
        <v>777</v>
      </c>
      <c r="S173" s="33">
        <f>314.5</f>
        <v>314.5</v>
      </c>
      <c r="T173" s="30">
        <f>15767140</f>
        <v>15767140</v>
      </c>
      <c r="U173" s="30">
        <f>4600810</f>
        <v>4600810</v>
      </c>
      <c r="V173" s="30">
        <f>4927677820</f>
        <v>4927677820</v>
      </c>
      <c r="W173" s="30">
        <f>1439719127</f>
        <v>1439719127</v>
      </c>
      <c r="X173" s="34">
        <f>21</f>
        <v>21</v>
      </c>
    </row>
    <row r="174" spans="1:24">
      <c r="A174" s="25" t="s">
        <v>1201</v>
      </c>
      <c r="B174" s="25" t="s">
        <v>1154</v>
      </c>
      <c r="C174" s="25" t="s">
        <v>1155</v>
      </c>
      <c r="D174" s="25" t="s">
        <v>1156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309.3</f>
        <v>309.3</v>
      </c>
      <c r="L174" s="32" t="s">
        <v>1110</v>
      </c>
      <c r="M174" s="31">
        <f>315.9</f>
        <v>315.89999999999998</v>
      </c>
      <c r="N174" s="32" t="s">
        <v>760</v>
      </c>
      <c r="O174" s="31">
        <f>303.3</f>
        <v>303.3</v>
      </c>
      <c r="P174" s="32" t="s">
        <v>883</v>
      </c>
      <c r="Q174" s="31">
        <f>304.9</f>
        <v>304.89999999999998</v>
      </c>
      <c r="R174" s="32" t="s">
        <v>777</v>
      </c>
      <c r="S174" s="33">
        <f>309.62</f>
        <v>309.62</v>
      </c>
      <c r="T174" s="30">
        <f>6492990</f>
        <v>6492990</v>
      </c>
      <c r="U174" s="30">
        <f>800</f>
        <v>800</v>
      </c>
      <c r="V174" s="30">
        <f>2005396935</f>
        <v>2005396935</v>
      </c>
      <c r="W174" s="30">
        <f>249520</f>
        <v>249520</v>
      </c>
      <c r="X174" s="34">
        <f>21</f>
        <v>21</v>
      </c>
    </row>
    <row r="175" spans="1:24">
      <c r="A175" s="25" t="s">
        <v>1201</v>
      </c>
      <c r="B175" s="25" t="s">
        <v>1157</v>
      </c>
      <c r="C175" s="25" t="s">
        <v>1158</v>
      </c>
      <c r="D175" s="25" t="s">
        <v>1159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500</f>
        <v>500</v>
      </c>
      <c r="L175" s="32" t="s">
        <v>1110</v>
      </c>
      <c r="M175" s="31">
        <f>512</f>
        <v>512</v>
      </c>
      <c r="N175" s="32" t="s">
        <v>1116</v>
      </c>
      <c r="O175" s="31">
        <f>472.6</f>
        <v>472.6</v>
      </c>
      <c r="P175" s="32" t="s">
        <v>874</v>
      </c>
      <c r="Q175" s="31">
        <f>489</f>
        <v>489</v>
      </c>
      <c r="R175" s="32" t="s">
        <v>777</v>
      </c>
      <c r="S175" s="33">
        <f>483.66</f>
        <v>483.66</v>
      </c>
      <c r="T175" s="30">
        <f>7040</f>
        <v>7040</v>
      </c>
      <c r="U175" s="30" t="str">
        <f>"－"</f>
        <v>－</v>
      </c>
      <c r="V175" s="30">
        <f>3418437</f>
        <v>3418437</v>
      </c>
      <c r="W175" s="30" t="str">
        <f>"－"</f>
        <v>－</v>
      </c>
      <c r="X175" s="34">
        <f>17</f>
        <v>17</v>
      </c>
    </row>
    <row r="176" spans="1:24">
      <c r="A176" s="25" t="s">
        <v>1201</v>
      </c>
      <c r="B176" s="25" t="s">
        <v>1161</v>
      </c>
      <c r="C176" s="25" t="s">
        <v>1162</v>
      </c>
      <c r="D176" s="25" t="s">
        <v>1163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10</v>
      </c>
      <c r="K176" s="31">
        <f>531</f>
        <v>531</v>
      </c>
      <c r="L176" s="32" t="s">
        <v>1110</v>
      </c>
      <c r="M176" s="31">
        <f>539</f>
        <v>539</v>
      </c>
      <c r="N176" s="32" t="s">
        <v>674</v>
      </c>
      <c r="O176" s="31">
        <f>508.7</f>
        <v>508.7</v>
      </c>
      <c r="P176" s="32" t="s">
        <v>876</v>
      </c>
      <c r="Q176" s="31">
        <f>521.4</f>
        <v>521.4</v>
      </c>
      <c r="R176" s="32" t="s">
        <v>777</v>
      </c>
      <c r="S176" s="33">
        <f>526.58</f>
        <v>526.58000000000004</v>
      </c>
      <c r="T176" s="30">
        <f>48090</f>
        <v>48090</v>
      </c>
      <c r="U176" s="30" t="str">
        <f>"－"</f>
        <v>－</v>
      </c>
      <c r="V176" s="30">
        <f>25153931</f>
        <v>25153931</v>
      </c>
      <c r="W176" s="30" t="str">
        <f>"－"</f>
        <v>－</v>
      </c>
      <c r="X176" s="34">
        <f>21</f>
        <v>21</v>
      </c>
    </row>
    <row r="177" spans="1:24">
      <c r="A177" s="25" t="s">
        <v>1201</v>
      </c>
      <c r="B177" s="25" t="s">
        <v>1164</v>
      </c>
      <c r="C177" s="25" t="s">
        <v>1165</v>
      </c>
      <c r="D177" s="25" t="s">
        <v>1166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10</v>
      </c>
      <c r="K177" s="31">
        <f>542.6</f>
        <v>542.6</v>
      </c>
      <c r="L177" s="32" t="s">
        <v>1110</v>
      </c>
      <c r="M177" s="31">
        <f>694.8</f>
        <v>694.8</v>
      </c>
      <c r="N177" s="32" t="s">
        <v>1113</v>
      </c>
      <c r="O177" s="31">
        <f>533.6</f>
        <v>533.6</v>
      </c>
      <c r="P177" s="32" t="s">
        <v>1110</v>
      </c>
      <c r="Q177" s="31">
        <f>544.8</f>
        <v>544.79999999999995</v>
      </c>
      <c r="R177" s="32" t="s">
        <v>777</v>
      </c>
      <c r="S177" s="33">
        <f>565.5</f>
        <v>565.5</v>
      </c>
      <c r="T177" s="30">
        <f>76830</f>
        <v>76830</v>
      </c>
      <c r="U177" s="30" t="str">
        <f>"－"</f>
        <v>－</v>
      </c>
      <c r="V177" s="30">
        <f>43087212</f>
        <v>43087212</v>
      </c>
      <c r="W177" s="30" t="str">
        <f>"－"</f>
        <v>－</v>
      </c>
      <c r="X177" s="34">
        <f>21</f>
        <v>21</v>
      </c>
    </row>
    <row r="178" spans="1:24">
      <c r="A178" s="25" t="s">
        <v>1201</v>
      </c>
      <c r="B178" s="25" t="s">
        <v>1168</v>
      </c>
      <c r="C178" s="25" t="s">
        <v>1169</v>
      </c>
      <c r="D178" s="25" t="s">
        <v>1170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</v>
      </c>
      <c r="K178" s="31">
        <f>1035</f>
        <v>1035</v>
      </c>
      <c r="L178" s="32" t="s">
        <v>1110</v>
      </c>
      <c r="M178" s="31">
        <f>1036</f>
        <v>1036</v>
      </c>
      <c r="N178" s="32" t="s">
        <v>1110</v>
      </c>
      <c r="O178" s="31">
        <f>916</f>
        <v>916</v>
      </c>
      <c r="P178" s="32" t="s">
        <v>674</v>
      </c>
      <c r="Q178" s="31">
        <f>997</f>
        <v>997</v>
      </c>
      <c r="R178" s="32" t="s">
        <v>777</v>
      </c>
      <c r="S178" s="33">
        <f>987.71</f>
        <v>987.71</v>
      </c>
      <c r="T178" s="30">
        <f>910342</f>
        <v>910342</v>
      </c>
      <c r="U178" s="30">
        <f>76</f>
        <v>76</v>
      </c>
      <c r="V178" s="30">
        <f>892539771</f>
        <v>892539771</v>
      </c>
      <c r="W178" s="30">
        <f>72806</f>
        <v>72806</v>
      </c>
      <c r="X178" s="34">
        <f>21</f>
        <v>21</v>
      </c>
    </row>
    <row r="179" spans="1:24">
      <c r="A179" s="25" t="s">
        <v>1201</v>
      </c>
      <c r="B179" s="25" t="s">
        <v>1173</v>
      </c>
      <c r="C179" s="25" t="s">
        <v>1174</v>
      </c>
      <c r="D179" s="25" t="s">
        <v>1175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</v>
      </c>
      <c r="K179" s="31">
        <f>1866</f>
        <v>1866</v>
      </c>
      <c r="L179" s="32" t="s">
        <v>1110</v>
      </c>
      <c r="M179" s="31">
        <f>1867</f>
        <v>1867</v>
      </c>
      <c r="N179" s="32" t="s">
        <v>1110</v>
      </c>
      <c r="O179" s="31">
        <f>1301</f>
        <v>1301</v>
      </c>
      <c r="P179" s="32" t="s">
        <v>674</v>
      </c>
      <c r="Q179" s="31">
        <f>1714</f>
        <v>1714</v>
      </c>
      <c r="R179" s="32" t="s">
        <v>777</v>
      </c>
      <c r="S179" s="33">
        <f>1669.81</f>
        <v>1669.81</v>
      </c>
      <c r="T179" s="30">
        <f>6358560</f>
        <v>6358560</v>
      </c>
      <c r="U179" s="30">
        <f>356000</f>
        <v>356000</v>
      </c>
      <c r="V179" s="30">
        <f>10436739840</f>
        <v>10436739840</v>
      </c>
      <c r="W179" s="30">
        <f>576790144</f>
        <v>576790144</v>
      </c>
      <c r="X179" s="34">
        <f>21</f>
        <v>21</v>
      </c>
    </row>
    <row r="180" spans="1:24">
      <c r="A180" s="25" t="s">
        <v>1201</v>
      </c>
      <c r="B180" s="25" t="s">
        <v>1054</v>
      </c>
      <c r="C180" s="25" t="s">
        <v>1055</v>
      </c>
      <c r="D180" s="25" t="s">
        <v>1056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584</f>
        <v>584</v>
      </c>
      <c r="L180" s="32" t="s">
        <v>1110</v>
      </c>
      <c r="M180" s="31">
        <f>584</f>
        <v>584</v>
      </c>
      <c r="N180" s="32" t="s">
        <v>1110</v>
      </c>
      <c r="O180" s="31">
        <f>472</f>
        <v>472</v>
      </c>
      <c r="P180" s="32" t="s">
        <v>674</v>
      </c>
      <c r="Q180" s="31">
        <f>570.7</f>
        <v>570.70000000000005</v>
      </c>
      <c r="R180" s="32" t="s">
        <v>777</v>
      </c>
      <c r="S180" s="33">
        <f>547.8</f>
        <v>547.79999999999995</v>
      </c>
      <c r="T180" s="30">
        <f>923540</f>
        <v>923540</v>
      </c>
      <c r="U180" s="30">
        <f>100240</f>
        <v>100240</v>
      </c>
      <c r="V180" s="30">
        <f>497176393</f>
        <v>497176393</v>
      </c>
      <c r="W180" s="30">
        <f>54242468</f>
        <v>54242468</v>
      </c>
      <c r="X180" s="34">
        <f>21</f>
        <v>21</v>
      </c>
    </row>
    <row r="181" spans="1:24">
      <c r="A181" s="25" t="s">
        <v>1201</v>
      </c>
      <c r="B181" s="25" t="s">
        <v>1083</v>
      </c>
      <c r="C181" s="25" t="s">
        <v>1084</v>
      </c>
      <c r="D181" s="25" t="s">
        <v>1085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209.8</f>
        <v>209.8</v>
      </c>
      <c r="L181" s="32" t="s">
        <v>1110</v>
      </c>
      <c r="M181" s="31">
        <f>213.1</f>
        <v>213.1</v>
      </c>
      <c r="N181" s="32" t="s">
        <v>1110</v>
      </c>
      <c r="O181" s="31">
        <f>199.5</f>
        <v>199.5</v>
      </c>
      <c r="P181" s="32" t="s">
        <v>674</v>
      </c>
      <c r="Q181" s="31">
        <f>203.8</f>
        <v>203.8</v>
      </c>
      <c r="R181" s="32" t="s">
        <v>777</v>
      </c>
      <c r="S181" s="33">
        <f>205.14</f>
        <v>205.14</v>
      </c>
      <c r="T181" s="30">
        <f>18678000</f>
        <v>18678000</v>
      </c>
      <c r="U181" s="30">
        <f>15697180</f>
        <v>15697180</v>
      </c>
      <c r="V181" s="30">
        <f>3895811846</f>
        <v>3895811846</v>
      </c>
      <c r="W181" s="30">
        <f>3283638644</f>
        <v>3283638644</v>
      </c>
      <c r="X181" s="34">
        <f>21</f>
        <v>21</v>
      </c>
    </row>
    <row r="182" spans="1:24">
      <c r="A182" s="25" t="s">
        <v>1201</v>
      </c>
      <c r="B182" s="25" t="s">
        <v>1087</v>
      </c>
      <c r="C182" s="25" t="s">
        <v>1088</v>
      </c>
      <c r="D182" s="25" t="s">
        <v>1089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10</v>
      </c>
      <c r="K182" s="31">
        <f>232</f>
        <v>232</v>
      </c>
      <c r="L182" s="32" t="s">
        <v>1110</v>
      </c>
      <c r="M182" s="31">
        <f>233</f>
        <v>233</v>
      </c>
      <c r="N182" s="32" t="s">
        <v>1110</v>
      </c>
      <c r="O182" s="31">
        <f>203.2</f>
        <v>203.2</v>
      </c>
      <c r="P182" s="32" t="s">
        <v>1113</v>
      </c>
      <c r="Q182" s="31">
        <f>227.6</f>
        <v>227.6</v>
      </c>
      <c r="R182" s="32" t="s">
        <v>777</v>
      </c>
      <c r="S182" s="33">
        <f>225.32</f>
        <v>225.32</v>
      </c>
      <c r="T182" s="30">
        <f>5134620</f>
        <v>5134620</v>
      </c>
      <c r="U182" s="30">
        <f>70</f>
        <v>70</v>
      </c>
      <c r="V182" s="30">
        <f>1143519063</f>
        <v>1143519063</v>
      </c>
      <c r="W182" s="30">
        <f>14798</f>
        <v>14798</v>
      </c>
      <c r="X182" s="34">
        <f>21</f>
        <v>21</v>
      </c>
    </row>
    <row r="183" spans="1:24">
      <c r="A183" s="25" t="s">
        <v>1201</v>
      </c>
      <c r="B183" s="25" t="s">
        <v>1090</v>
      </c>
      <c r="C183" s="25" t="s">
        <v>1091</v>
      </c>
      <c r="D183" s="25" t="s">
        <v>1092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10</v>
      </c>
      <c r="K183" s="31">
        <f>231.1</f>
        <v>231.1</v>
      </c>
      <c r="L183" s="32" t="s">
        <v>1110</v>
      </c>
      <c r="M183" s="31">
        <f>233</f>
        <v>233</v>
      </c>
      <c r="N183" s="32" t="s">
        <v>1110</v>
      </c>
      <c r="O183" s="31">
        <f>199.8</f>
        <v>199.8</v>
      </c>
      <c r="P183" s="32" t="s">
        <v>1113</v>
      </c>
      <c r="Q183" s="31">
        <f>227.7</f>
        <v>227.7</v>
      </c>
      <c r="R183" s="32" t="s">
        <v>777</v>
      </c>
      <c r="S183" s="33">
        <f>224</f>
        <v>224</v>
      </c>
      <c r="T183" s="30">
        <f>6226250</f>
        <v>6226250</v>
      </c>
      <c r="U183" s="30">
        <f>130</f>
        <v>130</v>
      </c>
      <c r="V183" s="30">
        <f>1379789748</f>
        <v>1379789748</v>
      </c>
      <c r="W183" s="30">
        <f>28260</f>
        <v>28260</v>
      </c>
      <c r="X183" s="34">
        <f>21</f>
        <v>21</v>
      </c>
    </row>
    <row r="184" spans="1:24">
      <c r="A184" s="25" t="s">
        <v>1201</v>
      </c>
      <c r="B184" s="25" t="s">
        <v>1093</v>
      </c>
      <c r="C184" s="25" t="s">
        <v>1094</v>
      </c>
      <c r="D184" s="25" t="s">
        <v>1095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2061</f>
        <v>2061</v>
      </c>
      <c r="L184" s="32" t="s">
        <v>1110</v>
      </c>
      <c r="M184" s="31">
        <f>2084</f>
        <v>2084</v>
      </c>
      <c r="N184" s="32" t="s">
        <v>760</v>
      </c>
      <c r="O184" s="31">
        <f>2010</f>
        <v>2010</v>
      </c>
      <c r="P184" s="32" t="s">
        <v>674</v>
      </c>
      <c r="Q184" s="31">
        <f>2019</f>
        <v>2019</v>
      </c>
      <c r="R184" s="32" t="s">
        <v>777</v>
      </c>
      <c r="S184" s="33">
        <f>2042.05</f>
        <v>2042.05</v>
      </c>
      <c r="T184" s="30">
        <f>470857</f>
        <v>470857</v>
      </c>
      <c r="U184" s="30">
        <f>169000</f>
        <v>169000</v>
      </c>
      <c r="V184" s="30">
        <f>962292701</f>
        <v>962292701</v>
      </c>
      <c r="W184" s="30">
        <f>347648300</f>
        <v>347648300</v>
      </c>
      <c r="X184" s="34">
        <f>21</f>
        <v>21</v>
      </c>
    </row>
    <row r="185" spans="1:24">
      <c r="A185" s="25" t="s">
        <v>1201</v>
      </c>
      <c r="B185" s="25" t="s">
        <v>1096</v>
      </c>
      <c r="C185" s="25" t="s">
        <v>1097</v>
      </c>
      <c r="D185" s="25" t="s">
        <v>1098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1971</f>
        <v>1971</v>
      </c>
      <c r="L185" s="32" t="s">
        <v>1110</v>
      </c>
      <c r="M185" s="31">
        <f>2022</f>
        <v>2022</v>
      </c>
      <c r="N185" s="32" t="s">
        <v>674</v>
      </c>
      <c r="O185" s="31">
        <f>1970</f>
        <v>1970</v>
      </c>
      <c r="P185" s="32" t="s">
        <v>1110</v>
      </c>
      <c r="Q185" s="31">
        <f>1982</f>
        <v>1982</v>
      </c>
      <c r="R185" s="32" t="s">
        <v>777</v>
      </c>
      <c r="S185" s="33">
        <f>1991.67</f>
        <v>1991.67</v>
      </c>
      <c r="T185" s="30">
        <f>1300891</f>
        <v>1300891</v>
      </c>
      <c r="U185" s="30">
        <f>1070004</f>
        <v>1070004</v>
      </c>
      <c r="V185" s="30">
        <f>2587155796</f>
        <v>2587155796</v>
      </c>
      <c r="W185" s="30">
        <f>2127769656</f>
        <v>2127769656</v>
      </c>
      <c r="X185" s="34">
        <f>21</f>
        <v>21</v>
      </c>
    </row>
    <row r="186" spans="1:24">
      <c r="A186" s="25" t="s">
        <v>1201</v>
      </c>
      <c r="B186" s="25" t="s">
        <v>1099</v>
      </c>
      <c r="C186" s="25" t="s">
        <v>1100</v>
      </c>
      <c r="D186" s="25" t="s">
        <v>1101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1099</f>
        <v>1099</v>
      </c>
      <c r="L186" s="32" t="s">
        <v>1110</v>
      </c>
      <c r="M186" s="31">
        <f>1099</f>
        <v>1099</v>
      </c>
      <c r="N186" s="32" t="s">
        <v>1110</v>
      </c>
      <c r="O186" s="31">
        <f>900</f>
        <v>900</v>
      </c>
      <c r="P186" s="32" t="s">
        <v>674</v>
      </c>
      <c r="Q186" s="31">
        <f>1085</f>
        <v>1085</v>
      </c>
      <c r="R186" s="32" t="s">
        <v>777</v>
      </c>
      <c r="S186" s="33">
        <f>1036.29</f>
        <v>1036.29</v>
      </c>
      <c r="T186" s="30">
        <f>4529918</f>
        <v>4529918</v>
      </c>
      <c r="U186" s="30">
        <f>662147</f>
        <v>662147</v>
      </c>
      <c r="V186" s="30">
        <f>4546807095</f>
        <v>4546807095</v>
      </c>
      <c r="W186" s="30">
        <f>651817794</f>
        <v>651817794</v>
      </c>
      <c r="X186" s="34">
        <f>21</f>
        <v>21</v>
      </c>
    </row>
    <row r="187" spans="1:24">
      <c r="A187" s="25" t="s">
        <v>1201</v>
      </c>
      <c r="B187" s="25" t="s">
        <v>1103</v>
      </c>
      <c r="C187" s="25" t="s">
        <v>1104</v>
      </c>
      <c r="D187" s="25" t="s">
        <v>1105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</v>
      </c>
      <c r="K187" s="31">
        <f>1096</f>
        <v>1096</v>
      </c>
      <c r="L187" s="32" t="s">
        <v>1110</v>
      </c>
      <c r="M187" s="31">
        <f>1130</f>
        <v>1130</v>
      </c>
      <c r="N187" s="32" t="s">
        <v>876</v>
      </c>
      <c r="O187" s="31">
        <f>1002</f>
        <v>1002</v>
      </c>
      <c r="P187" s="32" t="s">
        <v>674</v>
      </c>
      <c r="Q187" s="31">
        <f>1102</f>
        <v>1102</v>
      </c>
      <c r="R187" s="32" t="s">
        <v>777</v>
      </c>
      <c r="S187" s="33">
        <f>1088.05</f>
        <v>1088.05</v>
      </c>
      <c r="T187" s="30">
        <f>290203</f>
        <v>290203</v>
      </c>
      <c r="U187" s="30" t="str">
        <f>"－"</f>
        <v>－</v>
      </c>
      <c r="V187" s="30">
        <f>314041895</f>
        <v>314041895</v>
      </c>
      <c r="W187" s="30" t="str">
        <f>"－"</f>
        <v>－</v>
      </c>
      <c r="X187" s="34">
        <f>21</f>
        <v>21</v>
      </c>
    </row>
    <row r="188" spans="1:24">
      <c r="A188" s="25" t="s">
        <v>1201</v>
      </c>
      <c r="B188" s="25" t="s">
        <v>1106</v>
      </c>
      <c r="C188" s="25" t="s">
        <v>1107</v>
      </c>
      <c r="D188" s="25" t="s">
        <v>1108</v>
      </c>
      <c r="E188" s="26" t="s">
        <v>43</v>
      </c>
      <c r="F188" s="27" t="s">
        <v>43</v>
      </c>
      <c r="G188" s="28" t="s">
        <v>43</v>
      </c>
      <c r="H188" s="29"/>
      <c r="I188" s="29" t="s">
        <v>44</v>
      </c>
      <c r="J188" s="30">
        <v>1</v>
      </c>
      <c r="K188" s="31">
        <f>1020</f>
        <v>1020</v>
      </c>
      <c r="L188" s="32" t="s">
        <v>1110</v>
      </c>
      <c r="M188" s="31">
        <f>1021</f>
        <v>1021</v>
      </c>
      <c r="N188" s="32" t="s">
        <v>1110</v>
      </c>
      <c r="O188" s="31">
        <f>950</f>
        <v>950</v>
      </c>
      <c r="P188" s="32" t="s">
        <v>674</v>
      </c>
      <c r="Q188" s="31">
        <f>1013</f>
        <v>1013</v>
      </c>
      <c r="R188" s="32" t="s">
        <v>777</v>
      </c>
      <c r="S188" s="33">
        <f>1002.9</f>
        <v>1002.9</v>
      </c>
      <c r="T188" s="30">
        <f>122415</f>
        <v>122415</v>
      </c>
      <c r="U188" s="30" t="str">
        <f>"－"</f>
        <v>－</v>
      </c>
      <c r="V188" s="30">
        <f>121682577</f>
        <v>121682577</v>
      </c>
      <c r="W188" s="30" t="str">
        <f>"－"</f>
        <v>－</v>
      </c>
      <c r="X188" s="34">
        <f>21</f>
        <v>21</v>
      </c>
    </row>
    <row r="189" spans="1:24">
      <c r="A189" s="25" t="s">
        <v>1201</v>
      </c>
      <c r="B189" s="25" t="s">
        <v>1177</v>
      </c>
      <c r="C189" s="25" t="s">
        <v>1178</v>
      </c>
      <c r="D189" s="25" t="s">
        <v>1179</v>
      </c>
      <c r="E189" s="26" t="s">
        <v>43</v>
      </c>
      <c r="F189" s="27" t="s">
        <v>43</v>
      </c>
      <c r="G189" s="28" t="s">
        <v>43</v>
      </c>
      <c r="H189" s="29"/>
      <c r="I189" s="29" t="s">
        <v>44</v>
      </c>
      <c r="J189" s="30">
        <v>10</v>
      </c>
      <c r="K189" s="31">
        <f>208.7</f>
        <v>208.7</v>
      </c>
      <c r="L189" s="32" t="s">
        <v>1110</v>
      </c>
      <c r="M189" s="31">
        <f>208.8</f>
        <v>208.8</v>
      </c>
      <c r="N189" s="32" t="s">
        <v>1110</v>
      </c>
      <c r="O189" s="31">
        <f>181.3</f>
        <v>181.3</v>
      </c>
      <c r="P189" s="32" t="s">
        <v>674</v>
      </c>
      <c r="Q189" s="31">
        <f>199.9</f>
        <v>199.9</v>
      </c>
      <c r="R189" s="32" t="s">
        <v>777</v>
      </c>
      <c r="S189" s="33">
        <f>196.79</f>
        <v>196.79</v>
      </c>
      <c r="T189" s="30">
        <f>9825450</f>
        <v>9825450</v>
      </c>
      <c r="U189" s="30">
        <f>340740</f>
        <v>340740</v>
      </c>
      <c r="V189" s="30">
        <f>1914784527</f>
        <v>1914784527</v>
      </c>
      <c r="W189" s="30">
        <f>65899130</f>
        <v>65899130</v>
      </c>
      <c r="X189" s="34">
        <f>21</f>
        <v>21</v>
      </c>
    </row>
    <row r="190" spans="1:24">
      <c r="A190" s="25" t="s">
        <v>1201</v>
      </c>
      <c r="B190" s="25" t="s">
        <v>462</v>
      </c>
      <c r="C190" s="25" t="s">
        <v>463</v>
      </c>
      <c r="D190" s="25" t="s">
        <v>464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4215</f>
        <v>4215</v>
      </c>
      <c r="L190" s="32" t="s">
        <v>1110</v>
      </c>
      <c r="M190" s="31">
        <f>4510</f>
        <v>4510</v>
      </c>
      <c r="N190" s="32" t="s">
        <v>777</v>
      </c>
      <c r="O190" s="31">
        <f>3650</f>
        <v>3650</v>
      </c>
      <c r="P190" s="32" t="s">
        <v>674</v>
      </c>
      <c r="Q190" s="31">
        <f>4510</f>
        <v>4510</v>
      </c>
      <c r="R190" s="32" t="s">
        <v>777</v>
      </c>
      <c r="S190" s="33">
        <f>4145.95</f>
        <v>4145.95</v>
      </c>
      <c r="T190" s="30">
        <f>39621</f>
        <v>39621</v>
      </c>
      <c r="U190" s="30" t="str">
        <f>"－"</f>
        <v>－</v>
      </c>
      <c r="V190" s="30">
        <f>162305215</f>
        <v>162305215</v>
      </c>
      <c r="W190" s="30" t="str">
        <f>"－"</f>
        <v>－</v>
      </c>
      <c r="X190" s="34">
        <f>21</f>
        <v>21</v>
      </c>
    </row>
    <row r="191" spans="1:24">
      <c r="A191" s="25" t="s">
        <v>1201</v>
      </c>
      <c r="B191" s="25" t="s">
        <v>466</v>
      </c>
      <c r="C191" s="25" t="s">
        <v>467</v>
      </c>
      <c r="D191" s="25" t="s">
        <v>468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9328</f>
        <v>9328</v>
      </c>
      <c r="L191" s="32" t="s">
        <v>1110</v>
      </c>
      <c r="M191" s="31">
        <f>9625</f>
        <v>9625</v>
      </c>
      <c r="N191" s="32" t="s">
        <v>1116</v>
      </c>
      <c r="O191" s="31">
        <f>8529</f>
        <v>8529</v>
      </c>
      <c r="P191" s="32" t="s">
        <v>777</v>
      </c>
      <c r="Q191" s="31">
        <f>8574</f>
        <v>8574</v>
      </c>
      <c r="R191" s="32" t="s">
        <v>777</v>
      </c>
      <c r="S191" s="33">
        <f>9078.38</f>
        <v>9078.3799999999992</v>
      </c>
      <c r="T191" s="30">
        <f>7872</f>
        <v>7872</v>
      </c>
      <c r="U191" s="30" t="str">
        <f>"－"</f>
        <v>－</v>
      </c>
      <c r="V191" s="30">
        <f>72075652</f>
        <v>72075652</v>
      </c>
      <c r="W191" s="30" t="str">
        <f>"－"</f>
        <v>－</v>
      </c>
      <c r="X191" s="34">
        <f>21</f>
        <v>21</v>
      </c>
    </row>
    <row r="192" spans="1:24">
      <c r="A192" s="25" t="s">
        <v>1201</v>
      </c>
      <c r="B192" s="25" t="s">
        <v>469</v>
      </c>
      <c r="C192" s="25" t="s">
        <v>470</v>
      </c>
      <c r="D192" s="25" t="s">
        <v>471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14505</f>
        <v>14505</v>
      </c>
      <c r="L192" s="32" t="s">
        <v>1110</v>
      </c>
      <c r="M192" s="31">
        <f>14725</f>
        <v>14725</v>
      </c>
      <c r="N192" s="32" t="s">
        <v>1110</v>
      </c>
      <c r="O192" s="31">
        <f>10530</f>
        <v>10530</v>
      </c>
      <c r="P192" s="32" t="s">
        <v>674</v>
      </c>
      <c r="Q192" s="31">
        <f>12355</f>
        <v>12355</v>
      </c>
      <c r="R192" s="32" t="s">
        <v>883</v>
      </c>
      <c r="S192" s="33">
        <f>12685.79</f>
        <v>12685.79</v>
      </c>
      <c r="T192" s="30">
        <f>11865</f>
        <v>11865</v>
      </c>
      <c r="U192" s="30" t="str">
        <f>"－"</f>
        <v>－</v>
      </c>
      <c r="V192" s="30">
        <f>142544925</f>
        <v>142544925</v>
      </c>
      <c r="W192" s="30" t="str">
        <f>"－"</f>
        <v>－</v>
      </c>
      <c r="X192" s="34">
        <f>19</f>
        <v>19</v>
      </c>
    </row>
    <row r="193" spans="1:24">
      <c r="A193" s="25" t="s">
        <v>1201</v>
      </c>
      <c r="B193" s="25" t="s">
        <v>472</v>
      </c>
      <c r="C193" s="25" t="s">
        <v>473</v>
      </c>
      <c r="D193" s="25" t="s">
        <v>474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7151</f>
        <v>7151</v>
      </c>
      <c r="L193" s="32" t="s">
        <v>1110</v>
      </c>
      <c r="M193" s="31">
        <f>7900</f>
        <v>7900</v>
      </c>
      <c r="N193" s="32" t="s">
        <v>674</v>
      </c>
      <c r="O193" s="31">
        <f>7090</f>
        <v>7090</v>
      </c>
      <c r="P193" s="32" t="s">
        <v>1110</v>
      </c>
      <c r="Q193" s="31">
        <f>7392</f>
        <v>7392</v>
      </c>
      <c r="R193" s="32" t="s">
        <v>777</v>
      </c>
      <c r="S193" s="33">
        <f>7407.9</f>
        <v>7407.9</v>
      </c>
      <c r="T193" s="30">
        <f>5490</f>
        <v>5490</v>
      </c>
      <c r="U193" s="30">
        <f>68</f>
        <v>68</v>
      </c>
      <c r="V193" s="30">
        <f>41228983</f>
        <v>41228983</v>
      </c>
      <c r="W193" s="30">
        <f>523600</f>
        <v>523600</v>
      </c>
      <c r="X193" s="34">
        <f>21</f>
        <v>21</v>
      </c>
    </row>
    <row r="194" spans="1:24">
      <c r="A194" s="25" t="s">
        <v>1201</v>
      </c>
      <c r="B194" s="25" t="s">
        <v>475</v>
      </c>
      <c r="C194" s="25" t="s">
        <v>476</v>
      </c>
      <c r="D194" s="25" t="s">
        <v>477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57570</f>
        <v>57570</v>
      </c>
      <c r="L194" s="32" t="s">
        <v>1110</v>
      </c>
      <c r="M194" s="31">
        <f>58250</f>
        <v>58250</v>
      </c>
      <c r="N194" s="32" t="s">
        <v>680</v>
      </c>
      <c r="O194" s="31">
        <f>47750</f>
        <v>47750</v>
      </c>
      <c r="P194" s="32" t="s">
        <v>674</v>
      </c>
      <c r="Q194" s="31">
        <f>56120</f>
        <v>56120</v>
      </c>
      <c r="R194" s="32" t="s">
        <v>777</v>
      </c>
      <c r="S194" s="33">
        <f>55138.57</f>
        <v>55138.57</v>
      </c>
      <c r="T194" s="30">
        <f>62320</f>
        <v>62320</v>
      </c>
      <c r="U194" s="30">
        <f>65</f>
        <v>65</v>
      </c>
      <c r="V194" s="30">
        <f>3388433370</f>
        <v>3388433370</v>
      </c>
      <c r="W194" s="30">
        <f>3697260</f>
        <v>3697260</v>
      </c>
      <c r="X194" s="34">
        <f>21</f>
        <v>21</v>
      </c>
    </row>
    <row r="195" spans="1:24">
      <c r="A195" s="25" t="s">
        <v>1201</v>
      </c>
      <c r="B195" s="25" t="s">
        <v>478</v>
      </c>
      <c r="C195" s="25" t="s">
        <v>479</v>
      </c>
      <c r="D195" s="25" t="s">
        <v>480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2777</f>
        <v>2777</v>
      </c>
      <c r="L195" s="32" t="s">
        <v>1110</v>
      </c>
      <c r="M195" s="31">
        <f>2957</f>
        <v>2957</v>
      </c>
      <c r="N195" s="32" t="s">
        <v>1115</v>
      </c>
      <c r="O195" s="31">
        <f>2728</f>
        <v>2728</v>
      </c>
      <c r="P195" s="32" t="s">
        <v>680</v>
      </c>
      <c r="Q195" s="31">
        <f>2765</f>
        <v>2765</v>
      </c>
      <c r="R195" s="32" t="s">
        <v>777</v>
      </c>
      <c r="S195" s="33">
        <f>2801.43</f>
        <v>2801.43</v>
      </c>
      <c r="T195" s="30">
        <f>34186</f>
        <v>34186</v>
      </c>
      <c r="U195" s="30" t="str">
        <f>"－"</f>
        <v>－</v>
      </c>
      <c r="V195" s="30">
        <f>97553178</f>
        <v>97553178</v>
      </c>
      <c r="W195" s="30" t="str">
        <f>"－"</f>
        <v>－</v>
      </c>
      <c r="X195" s="34">
        <f>21</f>
        <v>21</v>
      </c>
    </row>
    <row r="196" spans="1:24">
      <c r="A196" s="25" t="s">
        <v>1201</v>
      </c>
      <c r="B196" s="25" t="s">
        <v>481</v>
      </c>
      <c r="C196" s="25" t="s">
        <v>482</v>
      </c>
      <c r="D196" s="25" t="s">
        <v>483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2098</f>
        <v>2098</v>
      </c>
      <c r="L196" s="32" t="s">
        <v>1110</v>
      </c>
      <c r="M196" s="31">
        <f>2107</f>
        <v>2107</v>
      </c>
      <c r="N196" s="32" t="s">
        <v>1110</v>
      </c>
      <c r="O196" s="31">
        <f>1623</f>
        <v>1623</v>
      </c>
      <c r="P196" s="32" t="s">
        <v>674</v>
      </c>
      <c r="Q196" s="31">
        <f>1808</f>
        <v>1808</v>
      </c>
      <c r="R196" s="32" t="s">
        <v>777</v>
      </c>
      <c r="S196" s="33">
        <f>1833.19</f>
        <v>1833.19</v>
      </c>
      <c r="T196" s="30">
        <f>12145272</f>
        <v>12145272</v>
      </c>
      <c r="U196" s="30">
        <f>611074</f>
        <v>611074</v>
      </c>
      <c r="V196" s="30">
        <f>22205149731</f>
        <v>22205149731</v>
      </c>
      <c r="W196" s="30">
        <f>1105823413</f>
        <v>1105823413</v>
      </c>
      <c r="X196" s="34">
        <f>21</f>
        <v>21</v>
      </c>
    </row>
    <row r="197" spans="1:24">
      <c r="A197" s="25" t="s">
        <v>1201</v>
      </c>
      <c r="B197" s="25" t="s">
        <v>484</v>
      </c>
      <c r="C197" s="25" t="s">
        <v>485</v>
      </c>
      <c r="D197" s="25" t="s">
        <v>486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949</f>
        <v>949</v>
      </c>
      <c r="L197" s="32" t="s">
        <v>1110</v>
      </c>
      <c r="M197" s="31">
        <f>1048</f>
        <v>1048</v>
      </c>
      <c r="N197" s="32" t="s">
        <v>674</v>
      </c>
      <c r="O197" s="31">
        <f>948</f>
        <v>948</v>
      </c>
      <c r="P197" s="32" t="s">
        <v>1110</v>
      </c>
      <c r="Q197" s="31">
        <f>996</f>
        <v>996</v>
      </c>
      <c r="R197" s="32" t="s">
        <v>777</v>
      </c>
      <c r="S197" s="33">
        <f>993.19</f>
        <v>993.19</v>
      </c>
      <c r="T197" s="30">
        <f>2098839</f>
        <v>2098839</v>
      </c>
      <c r="U197" s="30">
        <f>218</f>
        <v>218</v>
      </c>
      <c r="V197" s="30">
        <f>2105064396</f>
        <v>2105064396</v>
      </c>
      <c r="W197" s="30">
        <f>208190</f>
        <v>208190</v>
      </c>
      <c r="X197" s="34">
        <f>21</f>
        <v>21</v>
      </c>
    </row>
    <row r="198" spans="1:24">
      <c r="A198" s="25" t="s">
        <v>1201</v>
      </c>
      <c r="B198" s="25" t="s">
        <v>487</v>
      </c>
      <c r="C198" s="25" t="s">
        <v>488</v>
      </c>
      <c r="D198" s="25" t="s">
        <v>489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29930</f>
        <v>29930</v>
      </c>
      <c r="L198" s="32" t="s">
        <v>1110</v>
      </c>
      <c r="M198" s="31">
        <f>30230</f>
        <v>30230</v>
      </c>
      <c r="N198" s="32" t="s">
        <v>777</v>
      </c>
      <c r="O198" s="31">
        <f>27005</f>
        <v>27005</v>
      </c>
      <c r="P198" s="32" t="s">
        <v>1113</v>
      </c>
      <c r="Q198" s="31">
        <f>30180</f>
        <v>30180</v>
      </c>
      <c r="R198" s="32" t="s">
        <v>777</v>
      </c>
      <c r="S198" s="33">
        <f>28970.48</f>
        <v>28970.48</v>
      </c>
      <c r="T198" s="30">
        <f>31389</f>
        <v>31389</v>
      </c>
      <c r="U198" s="30" t="str">
        <f>"－"</f>
        <v>－</v>
      </c>
      <c r="V198" s="30">
        <f>906281385</f>
        <v>906281385</v>
      </c>
      <c r="W198" s="30" t="str">
        <f>"－"</f>
        <v>－</v>
      </c>
      <c r="X198" s="34">
        <f>21</f>
        <v>21</v>
      </c>
    </row>
    <row r="199" spans="1:24">
      <c r="A199" s="25" t="s">
        <v>1201</v>
      </c>
      <c r="B199" s="25" t="s">
        <v>490</v>
      </c>
      <c r="C199" s="25" t="s">
        <v>491</v>
      </c>
      <c r="D199" s="25" t="s">
        <v>492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2479</f>
        <v>2479</v>
      </c>
      <c r="L199" s="32" t="s">
        <v>1110</v>
      </c>
      <c r="M199" s="31">
        <f>2650</f>
        <v>2650</v>
      </c>
      <c r="N199" s="32" t="s">
        <v>674</v>
      </c>
      <c r="O199" s="31">
        <f>2441</f>
        <v>2441</v>
      </c>
      <c r="P199" s="32" t="s">
        <v>777</v>
      </c>
      <c r="Q199" s="31">
        <f>2441</f>
        <v>2441</v>
      </c>
      <c r="R199" s="32" t="s">
        <v>777</v>
      </c>
      <c r="S199" s="33">
        <f>2508.14</f>
        <v>2508.14</v>
      </c>
      <c r="T199" s="30">
        <f>612963</f>
        <v>612963</v>
      </c>
      <c r="U199" s="30">
        <f>475</f>
        <v>475</v>
      </c>
      <c r="V199" s="30">
        <f>1557716210</f>
        <v>1557716210</v>
      </c>
      <c r="W199" s="30">
        <f>1206875</f>
        <v>1206875</v>
      </c>
      <c r="X199" s="34">
        <f>21</f>
        <v>21</v>
      </c>
    </row>
    <row r="200" spans="1:24">
      <c r="A200" s="25" t="s">
        <v>1201</v>
      </c>
      <c r="B200" s="25" t="s">
        <v>493</v>
      </c>
      <c r="C200" s="25" t="s">
        <v>1057</v>
      </c>
      <c r="D200" s="25" t="s">
        <v>1058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6836</f>
        <v>6836</v>
      </c>
      <c r="L200" s="32" t="s">
        <v>1110</v>
      </c>
      <c r="M200" s="31">
        <f>7211</f>
        <v>7211</v>
      </c>
      <c r="N200" s="32" t="s">
        <v>1111</v>
      </c>
      <c r="O200" s="31">
        <f>5100</f>
        <v>5100</v>
      </c>
      <c r="P200" s="32" t="s">
        <v>674</v>
      </c>
      <c r="Q200" s="31">
        <f>7063</f>
        <v>7063</v>
      </c>
      <c r="R200" s="32" t="s">
        <v>777</v>
      </c>
      <c r="S200" s="33">
        <f>6421.14</f>
        <v>6421.14</v>
      </c>
      <c r="T200" s="30">
        <f>93664</f>
        <v>93664</v>
      </c>
      <c r="U200" s="30" t="str">
        <f>"－"</f>
        <v>－</v>
      </c>
      <c r="V200" s="30">
        <f>606828534</f>
        <v>606828534</v>
      </c>
      <c r="W200" s="30" t="str">
        <f>"－"</f>
        <v>－</v>
      </c>
      <c r="X200" s="34">
        <f>21</f>
        <v>21</v>
      </c>
    </row>
    <row r="201" spans="1:24">
      <c r="A201" s="25" t="s">
        <v>1201</v>
      </c>
      <c r="B201" s="25" t="s">
        <v>494</v>
      </c>
      <c r="C201" s="25" t="s">
        <v>495</v>
      </c>
      <c r="D201" s="25" t="s">
        <v>496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18955</f>
        <v>18955</v>
      </c>
      <c r="L201" s="32" t="s">
        <v>1110</v>
      </c>
      <c r="M201" s="31">
        <f>19480</f>
        <v>19480</v>
      </c>
      <c r="N201" s="32" t="s">
        <v>777</v>
      </c>
      <c r="O201" s="31">
        <f>17335</f>
        <v>17335</v>
      </c>
      <c r="P201" s="32" t="s">
        <v>1124</v>
      </c>
      <c r="Q201" s="31">
        <f>19480</f>
        <v>19480</v>
      </c>
      <c r="R201" s="32" t="s">
        <v>777</v>
      </c>
      <c r="S201" s="33">
        <f>18502.14</f>
        <v>18502.14</v>
      </c>
      <c r="T201" s="30">
        <f>525</f>
        <v>525</v>
      </c>
      <c r="U201" s="30" t="str">
        <f>"－"</f>
        <v>－</v>
      </c>
      <c r="V201" s="30">
        <f>9824225</f>
        <v>9824225</v>
      </c>
      <c r="W201" s="30" t="str">
        <f>"－"</f>
        <v>－</v>
      </c>
      <c r="X201" s="34">
        <f>14</f>
        <v>14</v>
      </c>
    </row>
    <row r="202" spans="1:24">
      <c r="A202" s="25" t="s">
        <v>1201</v>
      </c>
      <c r="B202" s="25" t="s">
        <v>497</v>
      </c>
      <c r="C202" s="25" t="s">
        <v>498</v>
      </c>
      <c r="D202" s="25" t="s">
        <v>499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29305</f>
        <v>29305</v>
      </c>
      <c r="L202" s="32" t="s">
        <v>1110</v>
      </c>
      <c r="M202" s="31">
        <f>29305</f>
        <v>29305</v>
      </c>
      <c r="N202" s="32" t="s">
        <v>1110</v>
      </c>
      <c r="O202" s="31">
        <f>26495</f>
        <v>26495</v>
      </c>
      <c r="P202" s="32" t="s">
        <v>674</v>
      </c>
      <c r="Q202" s="31">
        <f>28610</f>
        <v>28610</v>
      </c>
      <c r="R202" s="32" t="s">
        <v>777</v>
      </c>
      <c r="S202" s="33">
        <f>28200.95</f>
        <v>28200.95</v>
      </c>
      <c r="T202" s="30">
        <f>39543</f>
        <v>39543</v>
      </c>
      <c r="U202" s="30" t="str">
        <f>"－"</f>
        <v>－</v>
      </c>
      <c r="V202" s="30">
        <f>1088260455</f>
        <v>1088260455</v>
      </c>
      <c r="W202" s="30" t="str">
        <f>"－"</f>
        <v>－</v>
      </c>
      <c r="X202" s="34">
        <f>21</f>
        <v>21</v>
      </c>
    </row>
    <row r="203" spans="1:24">
      <c r="A203" s="25" t="s">
        <v>1201</v>
      </c>
      <c r="B203" s="25" t="s">
        <v>500</v>
      </c>
      <c r="C203" s="25" t="s">
        <v>501</v>
      </c>
      <c r="D203" s="25" t="s">
        <v>502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16145</f>
        <v>16145</v>
      </c>
      <c r="L203" s="32" t="s">
        <v>1116</v>
      </c>
      <c r="M203" s="31">
        <f>16995</f>
        <v>16995</v>
      </c>
      <c r="N203" s="32" t="s">
        <v>1114</v>
      </c>
      <c r="O203" s="31">
        <f>15585</f>
        <v>15585</v>
      </c>
      <c r="P203" s="32" t="s">
        <v>1124</v>
      </c>
      <c r="Q203" s="31">
        <f>16910</f>
        <v>16910</v>
      </c>
      <c r="R203" s="32" t="s">
        <v>883</v>
      </c>
      <c r="S203" s="33">
        <f>16365.77</f>
        <v>16365.77</v>
      </c>
      <c r="T203" s="30">
        <f>202</f>
        <v>202</v>
      </c>
      <c r="U203" s="30" t="str">
        <f>"－"</f>
        <v>－</v>
      </c>
      <c r="V203" s="30">
        <f>3334075</f>
        <v>3334075</v>
      </c>
      <c r="W203" s="30" t="str">
        <f>"－"</f>
        <v>－</v>
      </c>
      <c r="X203" s="34">
        <f>13</f>
        <v>13</v>
      </c>
    </row>
    <row r="204" spans="1:24">
      <c r="A204" s="25" t="s">
        <v>1201</v>
      </c>
      <c r="B204" s="25" t="s">
        <v>503</v>
      </c>
      <c r="C204" s="25" t="s">
        <v>504</v>
      </c>
      <c r="D204" s="25" t="s">
        <v>505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36150</f>
        <v>36150</v>
      </c>
      <c r="L204" s="32" t="s">
        <v>1110</v>
      </c>
      <c r="M204" s="31">
        <f>36150</f>
        <v>36150</v>
      </c>
      <c r="N204" s="32" t="s">
        <v>1110</v>
      </c>
      <c r="O204" s="31">
        <f>30000</f>
        <v>30000</v>
      </c>
      <c r="P204" s="32" t="s">
        <v>674</v>
      </c>
      <c r="Q204" s="31">
        <f>33750</f>
        <v>33750</v>
      </c>
      <c r="R204" s="32" t="s">
        <v>777</v>
      </c>
      <c r="S204" s="33">
        <f>33151.43</f>
        <v>33151.43</v>
      </c>
      <c r="T204" s="30">
        <f>92668</f>
        <v>92668</v>
      </c>
      <c r="U204" s="30">
        <f>18</f>
        <v>18</v>
      </c>
      <c r="V204" s="30">
        <f>3030536390</f>
        <v>3030536390</v>
      </c>
      <c r="W204" s="30">
        <f>606290</f>
        <v>606290</v>
      </c>
      <c r="X204" s="34">
        <f>21</f>
        <v>21</v>
      </c>
    </row>
    <row r="205" spans="1:24">
      <c r="A205" s="25" t="s">
        <v>1201</v>
      </c>
      <c r="B205" s="25" t="s">
        <v>506</v>
      </c>
      <c r="C205" s="25" t="s">
        <v>507</v>
      </c>
      <c r="D205" s="25" t="s">
        <v>508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3475</f>
        <v>3475</v>
      </c>
      <c r="L205" s="32" t="s">
        <v>1110</v>
      </c>
      <c r="M205" s="31">
        <f>3540</f>
        <v>3540</v>
      </c>
      <c r="N205" s="32" t="s">
        <v>1124</v>
      </c>
      <c r="O205" s="31">
        <f>3260</f>
        <v>3260</v>
      </c>
      <c r="P205" s="32" t="s">
        <v>883</v>
      </c>
      <c r="Q205" s="31">
        <f>3310</f>
        <v>3310</v>
      </c>
      <c r="R205" s="32" t="s">
        <v>777</v>
      </c>
      <c r="S205" s="33">
        <f>3401.43</f>
        <v>3401.43</v>
      </c>
      <c r="T205" s="30">
        <f>6596</f>
        <v>6596</v>
      </c>
      <c r="U205" s="30" t="str">
        <f t="shared" ref="U205:U216" si="3">"－"</f>
        <v>－</v>
      </c>
      <c r="V205" s="30">
        <f>22584290</f>
        <v>22584290</v>
      </c>
      <c r="W205" s="30" t="str">
        <f t="shared" ref="W205:W216" si="4">"－"</f>
        <v>－</v>
      </c>
      <c r="X205" s="34">
        <f>21</f>
        <v>21</v>
      </c>
    </row>
    <row r="206" spans="1:24">
      <c r="A206" s="25" t="s">
        <v>1201</v>
      </c>
      <c r="B206" s="25" t="s">
        <v>509</v>
      </c>
      <c r="C206" s="25" t="s">
        <v>510</v>
      </c>
      <c r="D206" s="25" t="s">
        <v>511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30840</f>
        <v>30840</v>
      </c>
      <c r="L206" s="32" t="s">
        <v>1110</v>
      </c>
      <c r="M206" s="31">
        <f>30840</f>
        <v>30840</v>
      </c>
      <c r="N206" s="32" t="s">
        <v>1110</v>
      </c>
      <c r="O206" s="31">
        <f>23210</f>
        <v>23210</v>
      </c>
      <c r="P206" s="32" t="s">
        <v>674</v>
      </c>
      <c r="Q206" s="31">
        <f>28205</f>
        <v>28205</v>
      </c>
      <c r="R206" s="32" t="s">
        <v>883</v>
      </c>
      <c r="S206" s="33">
        <f>27652.11</f>
        <v>27652.11</v>
      </c>
      <c r="T206" s="30">
        <f>1057</f>
        <v>1057</v>
      </c>
      <c r="U206" s="30" t="str">
        <f t="shared" si="3"/>
        <v>－</v>
      </c>
      <c r="V206" s="30">
        <f>29380105</f>
        <v>29380105</v>
      </c>
      <c r="W206" s="30" t="str">
        <f t="shared" si="4"/>
        <v>－</v>
      </c>
      <c r="X206" s="34">
        <f>19</f>
        <v>19</v>
      </c>
    </row>
    <row r="207" spans="1:24">
      <c r="A207" s="25" t="s">
        <v>1201</v>
      </c>
      <c r="B207" s="25" t="s">
        <v>512</v>
      </c>
      <c r="C207" s="25" t="s">
        <v>513</v>
      </c>
      <c r="D207" s="25" t="s">
        <v>514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16485</f>
        <v>16485</v>
      </c>
      <c r="L207" s="32" t="s">
        <v>674</v>
      </c>
      <c r="M207" s="31">
        <f>19015</f>
        <v>19015</v>
      </c>
      <c r="N207" s="32" t="s">
        <v>1111</v>
      </c>
      <c r="O207" s="31">
        <f>15350</f>
        <v>15350</v>
      </c>
      <c r="P207" s="32" t="s">
        <v>674</v>
      </c>
      <c r="Q207" s="31">
        <f>18825</f>
        <v>18825</v>
      </c>
      <c r="R207" s="32" t="s">
        <v>1114</v>
      </c>
      <c r="S207" s="33">
        <f>17747</f>
        <v>17747</v>
      </c>
      <c r="T207" s="30">
        <f>317</f>
        <v>317</v>
      </c>
      <c r="U207" s="30" t="str">
        <f t="shared" si="3"/>
        <v>－</v>
      </c>
      <c r="V207" s="30">
        <f>5881675</f>
        <v>5881675</v>
      </c>
      <c r="W207" s="30" t="str">
        <f t="shared" si="4"/>
        <v>－</v>
      </c>
      <c r="X207" s="34">
        <f>10</f>
        <v>10</v>
      </c>
    </row>
    <row r="208" spans="1:24">
      <c r="A208" s="25" t="s">
        <v>1201</v>
      </c>
      <c r="B208" s="25" t="s">
        <v>515</v>
      </c>
      <c r="C208" s="25" t="s">
        <v>516</v>
      </c>
      <c r="D208" s="25" t="s">
        <v>517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34560</f>
        <v>34560</v>
      </c>
      <c r="L208" s="32" t="s">
        <v>1110</v>
      </c>
      <c r="M208" s="31">
        <f>34560</f>
        <v>34560</v>
      </c>
      <c r="N208" s="32" t="s">
        <v>1110</v>
      </c>
      <c r="O208" s="31">
        <f>28565</f>
        <v>28565</v>
      </c>
      <c r="P208" s="32" t="s">
        <v>674</v>
      </c>
      <c r="Q208" s="31">
        <f>32080</f>
        <v>32080</v>
      </c>
      <c r="R208" s="32" t="s">
        <v>883</v>
      </c>
      <c r="S208" s="33">
        <f>31668.06</f>
        <v>31668.06</v>
      </c>
      <c r="T208" s="30">
        <f>674</f>
        <v>674</v>
      </c>
      <c r="U208" s="30" t="str">
        <f t="shared" si="3"/>
        <v>－</v>
      </c>
      <c r="V208" s="30">
        <f>21094350</f>
        <v>21094350</v>
      </c>
      <c r="W208" s="30" t="str">
        <f t="shared" si="4"/>
        <v>－</v>
      </c>
      <c r="X208" s="34">
        <f>18</f>
        <v>18</v>
      </c>
    </row>
    <row r="209" spans="1:24">
      <c r="A209" s="25" t="s">
        <v>1201</v>
      </c>
      <c r="B209" s="25" t="s">
        <v>518</v>
      </c>
      <c r="C209" s="25" t="s">
        <v>519</v>
      </c>
      <c r="D209" s="25" t="s">
        <v>520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18760</f>
        <v>18760</v>
      </c>
      <c r="L209" s="32" t="s">
        <v>1110</v>
      </c>
      <c r="M209" s="31">
        <f>18900</f>
        <v>18900</v>
      </c>
      <c r="N209" s="32" t="s">
        <v>1111</v>
      </c>
      <c r="O209" s="31">
        <f>17510</f>
        <v>17510</v>
      </c>
      <c r="P209" s="32" t="s">
        <v>1124</v>
      </c>
      <c r="Q209" s="31">
        <f>18900</f>
        <v>18900</v>
      </c>
      <c r="R209" s="32" t="s">
        <v>1111</v>
      </c>
      <c r="S209" s="33">
        <f>18336.67</f>
        <v>18336.669999999998</v>
      </c>
      <c r="T209" s="30">
        <f>25</f>
        <v>25</v>
      </c>
      <c r="U209" s="30" t="str">
        <f t="shared" si="3"/>
        <v>－</v>
      </c>
      <c r="V209" s="30">
        <f>463360</f>
        <v>463360</v>
      </c>
      <c r="W209" s="30" t="str">
        <f t="shared" si="4"/>
        <v>－</v>
      </c>
      <c r="X209" s="34">
        <f>6</f>
        <v>6</v>
      </c>
    </row>
    <row r="210" spans="1:24">
      <c r="A210" s="25" t="s">
        <v>1201</v>
      </c>
      <c r="B210" s="25" t="s">
        <v>521</v>
      </c>
      <c r="C210" s="25" t="s">
        <v>522</v>
      </c>
      <c r="D210" s="25" t="s">
        <v>523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19385</f>
        <v>19385</v>
      </c>
      <c r="L210" s="32" t="s">
        <v>1110</v>
      </c>
      <c r="M210" s="31">
        <f>19385</f>
        <v>19385</v>
      </c>
      <c r="N210" s="32" t="s">
        <v>1110</v>
      </c>
      <c r="O210" s="31">
        <f>15905</f>
        <v>15905</v>
      </c>
      <c r="P210" s="32" t="s">
        <v>674</v>
      </c>
      <c r="Q210" s="31">
        <f>19050</f>
        <v>19050</v>
      </c>
      <c r="R210" s="32" t="s">
        <v>777</v>
      </c>
      <c r="S210" s="33">
        <f>18131.76</f>
        <v>18131.759999999998</v>
      </c>
      <c r="T210" s="30">
        <f>1139</f>
        <v>1139</v>
      </c>
      <c r="U210" s="30" t="str">
        <f t="shared" si="3"/>
        <v>－</v>
      </c>
      <c r="V210" s="30">
        <f>20321675</f>
        <v>20321675</v>
      </c>
      <c r="W210" s="30" t="str">
        <f t="shared" si="4"/>
        <v>－</v>
      </c>
      <c r="X210" s="34">
        <f>17</f>
        <v>17</v>
      </c>
    </row>
    <row r="211" spans="1:24">
      <c r="A211" s="25" t="s">
        <v>1201</v>
      </c>
      <c r="B211" s="25" t="s">
        <v>524</v>
      </c>
      <c r="C211" s="25" t="s">
        <v>525</v>
      </c>
      <c r="D211" s="25" t="s">
        <v>526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23295</f>
        <v>23295</v>
      </c>
      <c r="L211" s="32" t="s">
        <v>1110</v>
      </c>
      <c r="M211" s="31">
        <f>23295</f>
        <v>23295</v>
      </c>
      <c r="N211" s="32" t="s">
        <v>1110</v>
      </c>
      <c r="O211" s="31">
        <f>21995</f>
        <v>21995</v>
      </c>
      <c r="P211" s="32" t="s">
        <v>875</v>
      </c>
      <c r="Q211" s="31">
        <f>22340</f>
        <v>22340</v>
      </c>
      <c r="R211" s="32" t="s">
        <v>1111</v>
      </c>
      <c r="S211" s="33">
        <f>22591.25</f>
        <v>22591.25</v>
      </c>
      <c r="T211" s="30">
        <f>32</f>
        <v>32</v>
      </c>
      <c r="U211" s="30" t="str">
        <f t="shared" si="3"/>
        <v>－</v>
      </c>
      <c r="V211" s="30">
        <f>716585</f>
        <v>716585</v>
      </c>
      <c r="W211" s="30" t="str">
        <f t="shared" si="4"/>
        <v>－</v>
      </c>
      <c r="X211" s="34">
        <f>4</f>
        <v>4</v>
      </c>
    </row>
    <row r="212" spans="1:24">
      <c r="A212" s="25" t="s">
        <v>1201</v>
      </c>
      <c r="B212" s="25" t="s">
        <v>527</v>
      </c>
      <c r="C212" s="25" t="s">
        <v>528</v>
      </c>
      <c r="D212" s="25" t="s">
        <v>529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17630</f>
        <v>17630</v>
      </c>
      <c r="L212" s="32" t="s">
        <v>674</v>
      </c>
      <c r="M212" s="31">
        <f>17630</f>
        <v>17630</v>
      </c>
      <c r="N212" s="32" t="s">
        <v>674</v>
      </c>
      <c r="O212" s="31">
        <f>17055</f>
        <v>17055</v>
      </c>
      <c r="P212" s="32" t="s">
        <v>1115</v>
      </c>
      <c r="Q212" s="31">
        <f>17055</f>
        <v>17055</v>
      </c>
      <c r="R212" s="32" t="s">
        <v>1115</v>
      </c>
      <c r="S212" s="33">
        <f>17342.5</f>
        <v>17342.5</v>
      </c>
      <c r="T212" s="30">
        <f>301</f>
        <v>301</v>
      </c>
      <c r="U212" s="30" t="str">
        <f t="shared" si="3"/>
        <v>－</v>
      </c>
      <c r="V212" s="30">
        <f>5160380</f>
        <v>5160380</v>
      </c>
      <c r="W212" s="30" t="str">
        <f t="shared" si="4"/>
        <v>－</v>
      </c>
      <c r="X212" s="34">
        <f>2</f>
        <v>2</v>
      </c>
    </row>
    <row r="213" spans="1:24">
      <c r="A213" s="25" t="s">
        <v>1201</v>
      </c>
      <c r="B213" s="25" t="s">
        <v>530</v>
      </c>
      <c r="C213" s="25" t="s">
        <v>531</v>
      </c>
      <c r="D213" s="25" t="s">
        <v>532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11635</f>
        <v>11635</v>
      </c>
      <c r="L213" s="32" t="s">
        <v>1110</v>
      </c>
      <c r="M213" s="31">
        <f>12125</f>
        <v>12125</v>
      </c>
      <c r="N213" s="32" t="s">
        <v>777</v>
      </c>
      <c r="O213" s="31">
        <f>10445</f>
        <v>10445</v>
      </c>
      <c r="P213" s="32" t="s">
        <v>1124</v>
      </c>
      <c r="Q213" s="31">
        <f>12125</f>
        <v>12125</v>
      </c>
      <c r="R213" s="32" t="s">
        <v>777</v>
      </c>
      <c r="S213" s="33">
        <f>11410.36</f>
        <v>11410.36</v>
      </c>
      <c r="T213" s="30">
        <f>131</f>
        <v>131</v>
      </c>
      <c r="U213" s="30" t="str">
        <f t="shared" si="3"/>
        <v>－</v>
      </c>
      <c r="V213" s="30">
        <f>1491410</f>
        <v>1491410</v>
      </c>
      <c r="W213" s="30" t="str">
        <f t="shared" si="4"/>
        <v>－</v>
      </c>
      <c r="X213" s="34">
        <f>14</f>
        <v>14</v>
      </c>
    </row>
    <row r="214" spans="1:24">
      <c r="A214" s="25" t="s">
        <v>1201</v>
      </c>
      <c r="B214" s="25" t="s">
        <v>533</v>
      </c>
      <c r="C214" s="25" t="s">
        <v>534</v>
      </c>
      <c r="D214" s="25" t="s">
        <v>535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13710</f>
        <v>13710</v>
      </c>
      <c r="L214" s="32" t="s">
        <v>1110</v>
      </c>
      <c r="M214" s="31">
        <f>14575</f>
        <v>14575</v>
      </c>
      <c r="N214" s="32" t="s">
        <v>777</v>
      </c>
      <c r="O214" s="31">
        <f>12110</f>
        <v>12110</v>
      </c>
      <c r="P214" s="32" t="s">
        <v>674</v>
      </c>
      <c r="Q214" s="31">
        <f>14475</f>
        <v>14475</v>
      </c>
      <c r="R214" s="32" t="s">
        <v>777</v>
      </c>
      <c r="S214" s="33">
        <f>13700</f>
        <v>13700</v>
      </c>
      <c r="T214" s="30">
        <f>7376</f>
        <v>7376</v>
      </c>
      <c r="U214" s="30" t="str">
        <f t="shared" si="3"/>
        <v>－</v>
      </c>
      <c r="V214" s="30">
        <f>103190640</f>
        <v>103190640</v>
      </c>
      <c r="W214" s="30" t="str">
        <f t="shared" si="4"/>
        <v>－</v>
      </c>
      <c r="X214" s="34">
        <f>18</f>
        <v>18</v>
      </c>
    </row>
    <row r="215" spans="1:24">
      <c r="A215" s="25" t="s">
        <v>1201</v>
      </c>
      <c r="B215" s="25" t="s">
        <v>536</v>
      </c>
      <c r="C215" s="25" t="s">
        <v>537</v>
      </c>
      <c r="D215" s="25" t="s">
        <v>538</v>
      </c>
      <c r="E215" s="26" t="s">
        <v>43</v>
      </c>
      <c r="F215" s="27" t="s">
        <v>43</v>
      </c>
      <c r="G215" s="28" t="s">
        <v>43</v>
      </c>
      <c r="H215" s="29"/>
      <c r="I215" s="29" t="s">
        <v>465</v>
      </c>
      <c r="J215" s="30">
        <v>1</v>
      </c>
      <c r="K215" s="31">
        <f>12500</f>
        <v>12500</v>
      </c>
      <c r="L215" s="32" t="s">
        <v>1110</v>
      </c>
      <c r="M215" s="31">
        <f>12825</f>
        <v>12825</v>
      </c>
      <c r="N215" s="32" t="s">
        <v>777</v>
      </c>
      <c r="O215" s="31">
        <f>11205</f>
        <v>11205</v>
      </c>
      <c r="P215" s="32" t="s">
        <v>674</v>
      </c>
      <c r="Q215" s="31">
        <f>12825</f>
        <v>12825</v>
      </c>
      <c r="R215" s="32" t="s">
        <v>777</v>
      </c>
      <c r="S215" s="33">
        <f>12268.82</f>
        <v>12268.82</v>
      </c>
      <c r="T215" s="30">
        <f>2149</f>
        <v>2149</v>
      </c>
      <c r="U215" s="30" t="str">
        <f t="shared" si="3"/>
        <v>－</v>
      </c>
      <c r="V215" s="30">
        <f>25486985</f>
        <v>25486985</v>
      </c>
      <c r="W215" s="30" t="str">
        <f t="shared" si="4"/>
        <v>－</v>
      </c>
      <c r="X215" s="34">
        <f>17</f>
        <v>17</v>
      </c>
    </row>
    <row r="216" spans="1:24">
      <c r="A216" s="25" t="s">
        <v>1201</v>
      </c>
      <c r="B216" s="25" t="s">
        <v>783</v>
      </c>
      <c r="C216" s="25" t="s">
        <v>784</v>
      </c>
      <c r="D216" s="25" t="s">
        <v>785</v>
      </c>
      <c r="E216" s="26" t="s">
        <v>43</v>
      </c>
      <c r="F216" s="27" t="s">
        <v>43</v>
      </c>
      <c r="G216" s="28" t="s">
        <v>43</v>
      </c>
      <c r="H216" s="29"/>
      <c r="I216" s="29" t="s">
        <v>465</v>
      </c>
      <c r="J216" s="30">
        <v>1</v>
      </c>
      <c r="K216" s="31">
        <f>11895</f>
        <v>11895</v>
      </c>
      <c r="L216" s="32" t="s">
        <v>876</v>
      </c>
      <c r="M216" s="31">
        <f>12130</f>
        <v>12130</v>
      </c>
      <c r="N216" s="32" t="s">
        <v>1117</v>
      </c>
      <c r="O216" s="31">
        <f>11895</f>
        <v>11895</v>
      </c>
      <c r="P216" s="32" t="s">
        <v>876</v>
      </c>
      <c r="Q216" s="31">
        <f>12130</f>
        <v>12130</v>
      </c>
      <c r="R216" s="32" t="s">
        <v>1117</v>
      </c>
      <c r="S216" s="33">
        <f>12020</f>
        <v>12020</v>
      </c>
      <c r="T216" s="30">
        <f>156</f>
        <v>156</v>
      </c>
      <c r="U216" s="30" t="str">
        <f t="shared" si="3"/>
        <v>－</v>
      </c>
      <c r="V216" s="30">
        <f>1879710</f>
        <v>1879710</v>
      </c>
      <c r="W216" s="30" t="str">
        <f t="shared" si="4"/>
        <v>－</v>
      </c>
      <c r="X216" s="34">
        <f>2</f>
        <v>2</v>
      </c>
    </row>
    <row r="217" spans="1:24">
      <c r="A217" s="25" t="s">
        <v>1201</v>
      </c>
      <c r="B217" s="25" t="s">
        <v>991</v>
      </c>
      <c r="C217" s="25" t="s">
        <v>992</v>
      </c>
      <c r="D217" s="25" t="s">
        <v>993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1228</f>
        <v>1228</v>
      </c>
      <c r="L217" s="32" t="s">
        <v>1110</v>
      </c>
      <c r="M217" s="31">
        <f>1228</f>
        <v>1228</v>
      </c>
      <c r="N217" s="32" t="s">
        <v>1110</v>
      </c>
      <c r="O217" s="31">
        <f>953</f>
        <v>953</v>
      </c>
      <c r="P217" s="32" t="s">
        <v>674</v>
      </c>
      <c r="Q217" s="31">
        <f>1162</f>
        <v>1162</v>
      </c>
      <c r="R217" s="32" t="s">
        <v>777</v>
      </c>
      <c r="S217" s="33">
        <f>1125.86</f>
        <v>1125.8599999999999</v>
      </c>
      <c r="T217" s="30">
        <f>3644959</f>
        <v>3644959</v>
      </c>
      <c r="U217" s="30">
        <f>59162</f>
        <v>59162</v>
      </c>
      <c r="V217" s="30">
        <f>4015310497</f>
        <v>4015310497</v>
      </c>
      <c r="W217" s="30">
        <f>68694857</f>
        <v>68694857</v>
      </c>
      <c r="X217" s="34">
        <f>21</f>
        <v>21</v>
      </c>
    </row>
    <row r="218" spans="1:24">
      <c r="A218" s="25" t="s">
        <v>1201</v>
      </c>
      <c r="B218" s="25" t="s">
        <v>994</v>
      </c>
      <c r="C218" s="25" t="s">
        <v>995</v>
      </c>
      <c r="D218" s="25" t="s">
        <v>996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1249</f>
        <v>1249</v>
      </c>
      <c r="L218" s="32" t="s">
        <v>1110</v>
      </c>
      <c r="M218" s="31">
        <f>1249</f>
        <v>1249</v>
      </c>
      <c r="N218" s="32" t="s">
        <v>1110</v>
      </c>
      <c r="O218" s="31">
        <f>969</f>
        <v>969</v>
      </c>
      <c r="P218" s="32" t="s">
        <v>674</v>
      </c>
      <c r="Q218" s="31">
        <f>1169</f>
        <v>1169</v>
      </c>
      <c r="R218" s="32" t="s">
        <v>777</v>
      </c>
      <c r="S218" s="33">
        <f>1135.67</f>
        <v>1135.67</v>
      </c>
      <c r="T218" s="30">
        <f>112250</f>
        <v>112250</v>
      </c>
      <c r="U218" s="30" t="str">
        <f>"－"</f>
        <v>－</v>
      </c>
      <c r="V218" s="30">
        <f>126699965</f>
        <v>126699965</v>
      </c>
      <c r="W218" s="30" t="str">
        <f>"－"</f>
        <v>－</v>
      </c>
      <c r="X218" s="34">
        <f>21</f>
        <v>21</v>
      </c>
    </row>
    <row r="219" spans="1:24">
      <c r="A219" s="25" t="s">
        <v>1201</v>
      </c>
      <c r="B219" s="25" t="s">
        <v>997</v>
      </c>
      <c r="C219" s="25" t="s">
        <v>998</v>
      </c>
      <c r="D219" s="25" t="s">
        <v>999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1038</f>
        <v>1038</v>
      </c>
      <c r="L219" s="32" t="s">
        <v>1110</v>
      </c>
      <c r="M219" s="31">
        <f>1042</f>
        <v>1042</v>
      </c>
      <c r="N219" s="32" t="s">
        <v>1114</v>
      </c>
      <c r="O219" s="31">
        <f>856</f>
        <v>856</v>
      </c>
      <c r="P219" s="32" t="s">
        <v>674</v>
      </c>
      <c r="Q219" s="31">
        <f>1040</f>
        <v>1040</v>
      </c>
      <c r="R219" s="32" t="s">
        <v>777</v>
      </c>
      <c r="S219" s="33">
        <f>993.14</f>
        <v>993.14</v>
      </c>
      <c r="T219" s="30">
        <f>24409</f>
        <v>24409</v>
      </c>
      <c r="U219" s="30" t="str">
        <f>"－"</f>
        <v>－</v>
      </c>
      <c r="V219" s="30">
        <f>23880891</f>
        <v>23880891</v>
      </c>
      <c r="W219" s="30" t="str">
        <f>"－"</f>
        <v>－</v>
      </c>
      <c r="X219" s="34">
        <f>21</f>
        <v>21</v>
      </c>
    </row>
    <row r="220" spans="1:24">
      <c r="A220" s="25" t="s">
        <v>1201</v>
      </c>
      <c r="B220" s="25" t="s">
        <v>1000</v>
      </c>
      <c r="C220" s="25" t="s">
        <v>1001</v>
      </c>
      <c r="D220" s="25" t="s">
        <v>1002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</v>
      </c>
      <c r="K220" s="31">
        <f>2284</f>
        <v>2284</v>
      </c>
      <c r="L220" s="32" t="s">
        <v>1110</v>
      </c>
      <c r="M220" s="31">
        <f>2284</f>
        <v>2284</v>
      </c>
      <c r="N220" s="32" t="s">
        <v>1110</v>
      </c>
      <c r="O220" s="31">
        <f>1700</f>
        <v>1700</v>
      </c>
      <c r="P220" s="32" t="s">
        <v>674</v>
      </c>
      <c r="Q220" s="31">
        <f>2245</f>
        <v>2245</v>
      </c>
      <c r="R220" s="32" t="s">
        <v>777</v>
      </c>
      <c r="S220" s="33">
        <f>2142.57</f>
        <v>2142.5700000000002</v>
      </c>
      <c r="T220" s="30">
        <f>405526</f>
        <v>405526</v>
      </c>
      <c r="U220" s="30">
        <f>58</f>
        <v>58</v>
      </c>
      <c r="V220" s="30">
        <f>848035684</f>
        <v>848035684</v>
      </c>
      <c r="W220" s="30">
        <f>122762</f>
        <v>122762</v>
      </c>
      <c r="X220" s="34">
        <f>21</f>
        <v>21</v>
      </c>
    </row>
    <row r="221" spans="1:24">
      <c r="A221" s="25" t="s">
        <v>1201</v>
      </c>
      <c r="B221" s="25" t="s">
        <v>1003</v>
      </c>
      <c r="C221" s="25" t="s">
        <v>1004</v>
      </c>
      <c r="D221" s="25" t="s">
        <v>1005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</v>
      </c>
      <c r="K221" s="31">
        <f>2341</f>
        <v>2341</v>
      </c>
      <c r="L221" s="32" t="s">
        <v>1110</v>
      </c>
      <c r="M221" s="31">
        <f>2341</f>
        <v>2341</v>
      </c>
      <c r="N221" s="32" t="s">
        <v>1110</v>
      </c>
      <c r="O221" s="31">
        <f>1848</f>
        <v>1848</v>
      </c>
      <c r="P221" s="32" t="s">
        <v>674</v>
      </c>
      <c r="Q221" s="31">
        <f>2283</f>
        <v>2283</v>
      </c>
      <c r="R221" s="32" t="s">
        <v>777</v>
      </c>
      <c r="S221" s="33">
        <f>2194.9</f>
        <v>2194.9</v>
      </c>
      <c r="T221" s="30">
        <f>1144148</f>
        <v>1144148</v>
      </c>
      <c r="U221" s="30">
        <f>50502</f>
        <v>50502</v>
      </c>
      <c r="V221" s="30">
        <f>2450634443</f>
        <v>2450634443</v>
      </c>
      <c r="W221" s="30">
        <f>111402794</f>
        <v>111402794</v>
      </c>
      <c r="X221" s="34">
        <f>21</f>
        <v>21</v>
      </c>
    </row>
    <row r="222" spans="1:24">
      <c r="A222" s="25" t="s">
        <v>1201</v>
      </c>
      <c r="B222" s="25" t="s">
        <v>1006</v>
      </c>
      <c r="C222" s="25" t="s">
        <v>1007</v>
      </c>
      <c r="D222" s="25" t="s">
        <v>1008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567</f>
        <v>567</v>
      </c>
      <c r="L222" s="32" t="s">
        <v>1110</v>
      </c>
      <c r="M222" s="31">
        <f>567</f>
        <v>567</v>
      </c>
      <c r="N222" s="32" t="s">
        <v>1110</v>
      </c>
      <c r="O222" s="31">
        <f>465.4</f>
        <v>465.4</v>
      </c>
      <c r="P222" s="32" t="s">
        <v>674</v>
      </c>
      <c r="Q222" s="31">
        <f>566.8</f>
        <v>566.79999999999995</v>
      </c>
      <c r="R222" s="32" t="s">
        <v>777</v>
      </c>
      <c r="S222" s="33">
        <f>544.19</f>
        <v>544.19000000000005</v>
      </c>
      <c r="T222" s="30">
        <f>2614810</f>
        <v>2614810</v>
      </c>
      <c r="U222" s="30">
        <f>147190</f>
        <v>147190</v>
      </c>
      <c r="V222" s="30">
        <f>1386307464</f>
        <v>1386307464</v>
      </c>
      <c r="W222" s="30">
        <f>80614026</f>
        <v>80614026</v>
      </c>
      <c r="X222" s="34">
        <f>21</f>
        <v>21</v>
      </c>
    </row>
    <row r="223" spans="1:24">
      <c r="A223" s="25" t="s">
        <v>1201</v>
      </c>
      <c r="B223" s="25" t="s">
        <v>1009</v>
      </c>
      <c r="C223" s="25" t="s">
        <v>1010</v>
      </c>
      <c r="D223" s="25" t="s">
        <v>1011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2404.5</f>
        <v>2404.5</v>
      </c>
      <c r="L223" s="32" t="s">
        <v>1110</v>
      </c>
      <c r="M223" s="31">
        <f>2454.5</f>
        <v>2454.5</v>
      </c>
      <c r="N223" s="32" t="s">
        <v>1116</v>
      </c>
      <c r="O223" s="31">
        <f>2262</f>
        <v>2262</v>
      </c>
      <c r="P223" s="32" t="s">
        <v>1113</v>
      </c>
      <c r="Q223" s="31">
        <f>2423</f>
        <v>2423</v>
      </c>
      <c r="R223" s="32" t="s">
        <v>1114</v>
      </c>
      <c r="S223" s="33">
        <f>2396.75</f>
        <v>2396.75</v>
      </c>
      <c r="T223" s="30">
        <f>99960</f>
        <v>99960</v>
      </c>
      <c r="U223" s="30">
        <f>87500</f>
        <v>87500</v>
      </c>
      <c r="V223" s="30">
        <f>229501061</f>
        <v>229501061</v>
      </c>
      <c r="W223" s="30">
        <f>199433211</f>
        <v>199433211</v>
      </c>
      <c r="X223" s="34">
        <f>12</f>
        <v>12</v>
      </c>
    </row>
    <row r="224" spans="1:24">
      <c r="A224" s="25" t="s">
        <v>1201</v>
      </c>
      <c r="B224" s="25" t="s">
        <v>1012</v>
      </c>
      <c r="C224" s="25" t="s">
        <v>1013</v>
      </c>
      <c r="D224" s="25" t="s">
        <v>1014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2301</f>
        <v>2301</v>
      </c>
      <c r="L224" s="32" t="s">
        <v>674</v>
      </c>
      <c r="M224" s="31">
        <f>2506</f>
        <v>2506</v>
      </c>
      <c r="N224" s="32" t="s">
        <v>760</v>
      </c>
      <c r="O224" s="31">
        <f>2290.5</f>
        <v>2290.5</v>
      </c>
      <c r="P224" s="32" t="s">
        <v>674</v>
      </c>
      <c r="Q224" s="31">
        <f>2466.5</f>
        <v>2466.5</v>
      </c>
      <c r="R224" s="32" t="s">
        <v>1114</v>
      </c>
      <c r="S224" s="33">
        <f>2422.69</f>
        <v>2422.69</v>
      </c>
      <c r="T224" s="30">
        <f>44550</f>
        <v>44550</v>
      </c>
      <c r="U224" s="30" t="str">
        <f>"－"</f>
        <v>－</v>
      </c>
      <c r="V224" s="30">
        <f>103394435</f>
        <v>103394435</v>
      </c>
      <c r="W224" s="30" t="str">
        <f>"－"</f>
        <v>－</v>
      </c>
      <c r="X224" s="34">
        <f>8</f>
        <v>8</v>
      </c>
    </row>
    <row r="225" spans="1:24">
      <c r="A225" s="25" t="s">
        <v>1201</v>
      </c>
      <c r="B225" s="25" t="s">
        <v>1015</v>
      </c>
      <c r="C225" s="25" t="s">
        <v>1016</v>
      </c>
      <c r="D225" s="25" t="s">
        <v>1017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2171</f>
        <v>2171</v>
      </c>
      <c r="L225" s="32" t="s">
        <v>1123</v>
      </c>
      <c r="M225" s="31">
        <f>2171</f>
        <v>2171</v>
      </c>
      <c r="N225" s="32" t="s">
        <v>1123</v>
      </c>
      <c r="O225" s="31">
        <f>2171</f>
        <v>2171</v>
      </c>
      <c r="P225" s="32" t="s">
        <v>1123</v>
      </c>
      <c r="Q225" s="31">
        <f>2171</f>
        <v>2171</v>
      </c>
      <c r="R225" s="32" t="s">
        <v>1123</v>
      </c>
      <c r="S225" s="33">
        <f>2171</f>
        <v>2171</v>
      </c>
      <c r="T225" s="30">
        <f>10</f>
        <v>10</v>
      </c>
      <c r="U225" s="30" t="str">
        <f>"－"</f>
        <v>－</v>
      </c>
      <c r="V225" s="30">
        <f>21710</f>
        <v>21710</v>
      </c>
      <c r="W225" s="30" t="str">
        <f>"－"</f>
        <v>－</v>
      </c>
      <c r="X225" s="34">
        <f>1</f>
        <v>1</v>
      </c>
    </row>
    <row r="226" spans="1:24">
      <c r="A226" s="25" t="s">
        <v>1201</v>
      </c>
      <c r="B226" s="25" t="s">
        <v>1018</v>
      </c>
      <c r="C226" s="25" t="s">
        <v>1019</v>
      </c>
      <c r="D226" s="25" t="s">
        <v>1020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 t="str">
        <f>"－"</f>
        <v>－</v>
      </c>
      <c r="L226" s="32"/>
      <c r="M226" s="31" t="str">
        <f>"－"</f>
        <v>－</v>
      </c>
      <c r="N226" s="32"/>
      <c r="O226" s="31" t="str">
        <f>"－"</f>
        <v>－</v>
      </c>
      <c r="P226" s="32"/>
      <c r="Q226" s="31" t="str">
        <f>"－"</f>
        <v>－</v>
      </c>
      <c r="R226" s="32"/>
      <c r="S226" s="33" t="str">
        <f>"－"</f>
        <v>－</v>
      </c>
      <c r="T226" s="30" t="str">
        <f>"－"</f>
        <v>－</v>
      </c>
      <c r="U226" s="30" t="str">
        <f>"－"</f>
        <v>－</v>
      </c>
      <c r="V226" s="30" t="str">
        <f>"－"</f>
        <v>－</v>
      </c>
      <c r="W226" s="30" t="str">
        <f>"－"</f>
        <v>－</v>
      </c>
      <c r="X226" s="34" t="str">
        <f>"－"</f>
        <v>－</v>
      </c>
    </row>
    <row r="227" spans="1:24">
      <c r="A227" s="25" t="s">
        <v>1201</v>
      </c>
      <c r="B227" s="25" t="s">
        <v>1021</v>
      </c>
      <c r="C227" s="25" t="s">
        <v>1022</v>
      </c>
      <c r="D227" s="25" t="s">
        <v>1023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 t="str">
        <f>"－"</f>
        <v>－</v>
      </c>
      <c r="L227" s="32"/>
      <c r="M227" s="31" t="str">
        <f>"－"</f>
        <v>－</v>
      </c>
      <c r="N227" s="32"/>
      <c r="O227" s="31" t="str">
        <f>"－"</f>
        <v>－</v>
      </c>
      <c r="P227" s="32"/>
      <c r="Q227" s="31" t="str">
        <f>"－"</f>
        <v>－</v>
      </c>
      <c r="R227" s="32"/>
      <c r="S227" s="33" t="str">
        <f>"－"</f>
        <v>－</v>
      </c>
      <c r="T227" s="30">
        <f>826000</f>
        <v>826000</v>
      </c>
      <c r="U227" s="30">
        <f>826000</f>
        <v>826000</v>
      </c>
      <c r="V227" s="30">
        <f>4202729300</f>
        <v>4202729300</v>
      </c>
      <c r="W227" s="30">
        <f>4202729300</f>
        <v>4202729300</v>
      </c>
      <c r="X227" s="34" t="str">
        <f>"－"</f>
        <v>－</v>
      </c>
    </row>
    <row r="228" spans="1:24">
      <c r="A228" s="25" t="s">
        <v>1201</v>
      </c>
      <c r="B228" s="25" t="s">
        <v>1024</v>
      </c>
      <c r="C228" s="25" t="s">
        <v>1025</v>
      </c>
      <c r="D228" s="25" t="s">
        <v>1026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5137</f>
        <v>5137</v>
      </c>
      <c r="L228" s="32" t="s">
        <v>1115</v>
      </c>
      <c r="M228" s="31">
        <f>5137</f>
        <v>5137</v>
      </c>
      <c r="N228" s="32" t="s">
        <v>1115</v>
      </c>
      <c r="O228" s="31">
        <f>5077</f>
        <v>5077</v>
      </c>
      <c r="P228" s="32" t="s">
        <v>1123</v>
      </c>
      <c r="Q228" s="31">
        <f>5077</f>
        <v>5077</v>
      </c>
      <c r="R228" s="32" t="s">
        <v>1123</v>
      </c>
      <c r="S228" s="33">
        <f>5107</f>
        <v>5107</v>
      </c>
      <c r="T228" s="30">
        <f>785040</f>
        <v>785040</v>
      </c>
      <c r="U228" s="30">
        <f>785000</f>
        <v>785000</v>
      </c>
      <c r="V228" s="30">
        <f>3979204280</f>
        <v>3979204280</v>
      </c>
      <c r="W228" s="30">
        <f>3979000000</f>
        <v>3979000000</v>
      </c>
      <c r="X228" s="34">
        <f>2</f>
        <v>2</v>
      </c>
    </row>
    <row r="229" spans="1:24">
      <c r="A229" s="25" t="s">
        <v>1201</v>
      </c>
      <c r="B229" s="25" t="s">
        <v>1027</v>
      </c>
      <c r="C229" s="25" t="s">
        <v>1028</v>
      </c>
      <c r="D229" s="25" t="s">
        <v>1029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10</v>
      </c>
      <c r="K229" s="31" t="str">
        <f>"－"</f>
        <v>－</v>
      </c>
      <c r="L229" s="32"/>
      <c r="M229" s="31" t="str">
        <f>"－"</f>
        <v>－</v>
      </c>
      <c r="N229" s="32"/>
      <c r="O229" s="31" t="str">
        <f>"－"</f>
        <v>－</v>
      </c>
      <c r="P229" s="32"/>
      <c r="Q229" s="31" t="str">
        <f>"－"</f>
        <v>－</v>
      </c>
      <c r="R229" s="32"/>
      <c r="S229" s="33" t="str">
        <f t="shared" ref="S229:X229" si="5">"－"</f>
        <v>－</v>
      </c>
      <c r="T229" s="30" t="str">
        <f t="shared" si="5"/>
        <v>－</v>
      </c>
      <c r="U229" s="30" t="str">
        <f t="shared" si="5"/>
        <v>－</v>
      </c>
      <c r="V229" s="30" t="str">
        <f t="shared" si="5"/>
        <v>－</v>
      </c>
      <c r="W229" s="30" t="str">
        <f t="shared" si="5"/>
        <v>－</v>
      </c>
      <c r="X229" s="34" t="str">
        <f t="shared" si="5"/>
        <v>－</v>
      </c>
    </row>
    <row r="230" spans="1:24">
      <c r="A230" s="25" t="s">
        <v>1201</v>
      </c>
      <c r="B230" s="25" t="s">
        <v>1053</v>
      </c>
      <c r="C230" s="25" t="s">
        <v>1052</v>
      </c>
      <c r="D230" s="25" t="s">
        <v>1051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10</v>
      </c>
      <c r="K230" s="31">
        <f>5072</f>
        <v>5072</v>
      </c>
      <c r="L230" s="32" t="s">
        <v>1110</v>
      </c>
      <c r="M230" s="31">
        <f>5072</f>
        <v>5072</v>
      </c>
      <c r="N230" s="32" t="s">
        <v>1110</v>
      </c>
      <c r="O230" s="31">
        <f>4792</f>
        <v>4792</v>
      </c>
      <c r="P230" s="32" t="s">
        <v>674</v>
      </c>
      <c r="Q230" s="31">
        <f>4847</f>
        <v>4847</v>
      </c>
      <c r="R230" s="32" t="s">
        <v>777</v>
      </c>
      <c r="S230" s="33">
        <f>4892.62</f>
        <v>4892.62</v>
      </c>
      <c r="T230" s="30">
        <f>315770</f>
        <v>315770</v>
      </c>
      <c r="U230" s="30">
        <f>296800</f>
        <v>296800</v>
      </c>
      <c r="V230" s="30">
        <f>1578879503</f>
        <v>1578879503</v>
      </c>
      <c r="W230" s="30">
        <f>1486289603</f>
        <v>1486289603</v>
      </c>
      <c r="X230" s="34">
        <f>21</f>
        <v>21</v>
      </c>
    </row>
    <row r="231" spans="1:24">
      <c r="A231" s="25" t="s">
        <v>1201</v>
      </c>
      <c r="B231" s="25" t="s">
        <v>1050</v>
      </c>
      <c r="C231" s="25" t="s">
        <v>1049</v>
      </c>
      <c r="D231" s="25" t="s">
        <v>1048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981</f>
        <v>981</v>
      </c>
      <c r="L231" s="32" t="s">
        <v>1110</v>
      </c>
      <c r="M231" s="31">
        <f>1080</f>
        <v>1080</v>
      </c>
      <c r="N231" s="32" t="s">
        <v>674</v>
      </c>
      <c r="O231" s="31">
        <f>934</f>
        <v>934</v>
      </c>
      <c r="P231" s="32" t="s">
        <v>883</v>
      </c>
      <c r="Q231" s="31">
        <f>950</f>
        <v>950</v>
      </c>
      <c r="R231" s="32" t="s">
        <v>777</v>
      </c>
      <c r="S231" s="33">
        <f>974.76</f>
        <v>974.76</v>
      </c>
      <c r="T231" s="30">
        <f>39348</f>
        <v>39348</v>
      </c>
      <c r="U231" s="30" t="str">
        <f>"－"</f>
        <v>－</v>
      </c>
      <c r="V231" s="30">
        <f>38839492</f>
        <v>38839492</v>
      </c>
      <c r="W231" s="30" t="str">
        <f>"－"</f>
        <v>－</v>
      </c>
      <c r="X231" s="34">
        <f>21</f>
        <v>21</v>
      </c>
    </row>
    <row r="232" spans="1:24">
      <c r="A232" s="25" t="s">
        <v>1201</v>
      </c>
      <c r="B232" s="25" t="s">
        <v>1047</v>
      </c>
      <c r="C232" s="25" t="s">
        <v>1046</v>
      </c>
      <c r="D232" s="25" t="s">
        <v>1045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1150</f>
        <v>1150</v>
      </c>
      <c r="L232" s="32" t="s">
        <v>1110</v>
      </c>
      <c r="M232" s="31">
        <f>1165</f>
        <v>1165</v>
      </c>
      <c r="N232" s="32" t="s">
        <v>777</v>
      </c>
      <c r="O232" s="31">
        <f>1045</f>
        <v>1045</v>
      </c>
      <c r="P232" s="32" t="s">
        <v>876</v>
      </c>
      <c r="Q232" s="31">
        <f>1162</f>
        <v>1162</v>
      </c>
      <c r="R232" s="32" t="s">
        <v>777</v>
      </c>
      <c r="S232" s="33">
        <f>1135.57</f>
        <v>1135.57</v>
      </c>
      <c r="T232" s="30">
        <f>164575</f>
        <v>164575</v>
      </c>
      <c r="U232" s="30" t="str">
        <f>"－"</f>
        <v>－</v>
      </c>
      <c r="V232" s="30">
        <f>187991942</f>
        <v>187991942</v>
      </c>
      <c r="W232" s="30" t="str">
        <f>"－"</f>
        <v>－</v>
      </c>
      <c r="X232" s="34">
        <f>21</f>
        <v>21</v>
      </c>
    </row>
    <row r="233" spans="1:24">
      <c r="A233" s="25" t="s">
        <v>1201</v>
      </c>
      <c r="B233" s="25" t="s">
        <v>1044</v>
      </c>
      <c r="C233" s="25" t="s">
        <v>1043</v>
      </c>
      <c r="D233" s="25" t="s">
        <v>1042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933</f>
        <v>933</v>
      </c>
      <c r="L233" s="32" t="s">
        <v>1110</v>
      </c>
      <c r="M233" s="31">
        <f>988</f>
        <v>988</v>
      </c>
      <c r="N233" s="32" t="s">
        <v>883</v>
      </c>
      <c r="O233" s="31">
        <f>826</f>
        <v>826</v>
      </c>
      <c r="P233" s="32" t="s">
        <v>674</v>
      </c>
      <c r="Q233" s="31">
        <f>967</f>
        <v>967</v>
      </c>
      <c r="R233" s="32" t="s">
        <v>777</v>
      </c>
      <c r="S233" s="33">
        <f>946.05</f>
        <v>946.05</v>
      </c>
      <c r="T233" s="30">
        <f>55325</f>
        <v>55325</v>
      </c>
      <c r="U233" s="30" t="str">
        <f>"－"</f>
        <v>－</v>
      </c>
      <c r="V233" s="30">
        <f>52644779</f>
        <v>52644779</v>
      </c>
      <c r="W233" s="30" t="str">
        <f>"－"</f>
        <v>－</v>
      </c>
      <c r="X233" s="34">
        <f>21</f>
        <v>21</v>
      </c>
    </row>
    <row r="234" spans="1:24">
      <c r="A234" s="25" t="s">
        <v>1201</v>
      </c>
      <c r="B234" s="25" t="s">
        <v>1041</v>
      </c>
      <c r="C234" s="25" t="s">
        <v>1040</v>
      </c>
      <c r="D234" s="25" t="s">
        <v>1039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975</f>
        <v>975</v>
      </c>
      <c r="L234" s="32" t="s">
        <v>1110</v>
      </c>
      <c r="M234" s="31">
        <f>1021</f>
        <v>1021</v>
      </c>
      <c r="N234" s="32" t="s">
        <v>883</v>
      </c>
      <c r="O234" s="31">
        <f>938</f>
        <v>938</v>
      </c>
      <c r="P234" s="32" t="s">
        <v>674</v>
      </c>
      <c r="Q234" s="31">
        <f>1008</f>
        <v>1008</v>
      </c>
      <c r="R234" s="32" t="s">
        <v>777</v>
      </c>
      <c r="S234" s="33">
        <f>992.86</f>
        <v>992.86</v>
      </c>
      <c r="T234" s="30">
        <f>179587</f>
        <v>179587</v>
      </c>
      <c r="U234" s="30">
        <f>93000</f>
        <v>93000</v>
      </c>
      <c r="V234" s="30">
        <f>180859361</f>
        <v>180859361</v>
      </c>
      <c r="W234" s="30">
        <f>94701900</f>
        <v>94701900</v>
      </c>
      <c r="X234" s="34">
        <f>21</f>
        <v>21</v>
      </c>
    </row>
    <row r="235" spans="1:24">
      <c r="A235" s="25" t="s">
        <v>1201</v>
      </c>
      <c r="B235" s="25" t="s">
        <v>1038</v>
      </c>
      <c r="C235" s="25" t="s">
        <v>1037</v>
      </c>
      <c r="D235" s="25" t="s">
        <v>1036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1010</f>
        <v>1010</v>
      </c>
      <c r="L235" s="32" t="s">
        <v>1110</v>
      </c>
      <c r="M235" s="31">
        <f>1026</f>
        <v>1026</v>
      </c>
      <c r="N235" s="32" t="s">
        <v>1116</v>
      </c>
      <c r="O235" s="31">
        <f>950</f>
        <v>950</v>
      </c>
      <c r="P235" s="32" t="s">
        <v>674</v>
      </c>
      <c r="Q235" s="31">
        <f>992</f>
        <v>992</v>
      </c>
      <c r="R235" s="32" t="s">
        <v>777</v>
      </c>
      <c r="S235" s="33">
        <f>983.52</f>
        <v>983.52</v>
      </c>
      <c r="T235" s="30">
        <f>38590</f>
        <v>38590</v>
      </c>
      <c r="U235" s="30">
        <f>3</f>
        <v>3</v>
      </c>
      <c r="V235" s="30">
        <f>37911849</f>
        <v>37911849</v>
      </c>
      <c r="W235" s="30">
        <f>2952</f>
        <v>2952</v>
      </c>
      <c r="X235" s="34">
        <f>21</f>
        <v>21</v>
      </c>
    </row>
    <row r="236" spans="1:24">
      <c r="A236" s="25" t="s">
        <v>1201</v>
      </c>
      <c r="B236" s="25" t="s">
        <v>1181</v>
      </c>
      <c r="C236" s="25" t="s">
        <v>1182</v>
      </c>
      <c r="D236" s="25" t="s">
        <v>1183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1509</f>
        <v>1509</v>
      </c>
      <c r="L236" s="32" t="s">
        <v>1110</v>
      </c>
      <c r="M236" s="31">
        <f>1547</f>
        <v>1547</v>
      </c>
      <c r="N236" s="32" t="s">
        <v>1114</v>
      </c>
      <c r="O236" s="31">
        <f>1440</f>
        <v>1440</v>
      </c>
      <c r="P236" s="32" t="s">
        <v>674</v>
      </c>
      <c r="Q236" s="31">
        <f>1525</f>
        <v>1525</v>
      </c>
      <c r="R236" s="32" t="s">
        <v>777</v>
      </c>
      <c r="S236" s="33">
        <f>1504.81</f>
        <v>1504.81</v>
      </c>
      <c r="T236" s="30">
        <f>202753</f>
        <v>202753</v>
      </c>
      <c r="U236" s="30">
        <f>29940</f>
        <v>29940</v>
      </c>
      <c r="V236" s="30">
        <f>302681807</f>
        <v>302681807</v>
      </c>
      <c r="W236" s="30">
        <f>44349455</f>
        <v>44349455</v>
      </c>
      <c r="X236" s="34">
        <f>21</f>
        <v>21</v>
      </c>
    </row>
    <row r="237" spans="1:24">
      <c r="A237" s="25" t="s">
        <v>1201</v>
      </c>
      <c r="B237" s="25" t="s">
        <v>1200</v>
      </c>
      <c r="C237" s="25" t="s">
        <v>1199</v>
      </c>
      <c r="D237" s="25" t="s">
        <v>1198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173.8</f>
        <v>173.8</v>
      </c>
      <c r="L237" s="32" t="s">
        <v>1110</v>
      </c>
      <c r="M237" s="31">
        <f>173.9</f>
        <v>173.9</v>
      </c>
      <c r="N237" s="32" t="s">
        <v>1110</v>
      </c>
      <c r="O237" s="31">
        <f>120</f>
        <v>120</v>
      </c>
      <c r="P237" s="32" t="s">
        <v>674</v>
      </c>
      <c r="Q237" s="31">
        <f>157.4</f>
        <v>157.4</v>
      </c>
      <c r="R237" s="32" t="s">
        <v>777</v>
      </c>
      <c r="S237" s="33">
        <f>153.59</f>
        <v>153.59</v>
      </c>
      <c r="T237" s="30">
        <f>10733760</f>
        <v>10733760</v>
      </c>
      <c r="U237" s="30">
        <f>1010190</f>
        <v>1010190</v>
      </c>
      <c r="V237" s="30">
        <f>1611238552</f>
        <v>1611238552</v>
      </c>
      <c r="W237" s="30">
        <f>145685394</f>
        <v>145685394</v>
      </c>
      <c r="X237" s="34">
        <f>21</f>
        <v>21</v>
      </c>
    </row>
    <row r="238" spans="1:24">
      <c r="A238" s="25" t="s">
        <v>1201</v>
      </c>
      <c r="B238" s="25" t="s">
        <v>1196</v>
      </c>
      <c r="C238" s="25" t="s">
        <v>1195</v>
      </c>
      <c r="D238" s="25" t="s">
        <v>1194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485</f>
        <v>485</v>
      </c>
      <c r="L238" s="32" t="s">
        <v>1110</v>
      </c>
      <c r="M238" s="31">
        <f>488.6</f>
        <v>488.6</v>
      </c>
      <c r="N238" s="32" t="s">
        <v>1110</v>
      </c>
      <c r="O238" s="31">
        <f>361.8</f>
        <v>361.8</v>
      </c>
      <c r="P238" s="32" t="s">
        <v>674</v>
      </c>
      <c r="Q238" s="31">
        <f>447.1</f>
        <v>447.1</v>
      </c>
      <c r="R238" s="32" t="s">
        <v>777</v>
      </c>
      <c r="S238" s="33">
        <f>437.41</f>
        <v>437.41</v>
      </c>
      <c r="T238" s="30">
        <f>889170</f>
        <v>889170</v>
      </c>
      <c r="U238" s="30">
        <f>860</f>
        <v>860</v>
      </c>
      <c r="V238" s="30">
        <f>383918957</f>
        <v>383918957</v>
      </c>
      <c r="W238" s="30">
        <f>356258</f>
        <v>356258</v>
      </c>
      <c r="X238" s="34">
        <f>21</f>
        <v>21</v>
      </c>
    </row>
    <row r="239" spans="1:24">
      <c r="A239" s="25" t="s">
        <v>1201</v>
      </c>
      <c r="B239" s="25" t="s">
        <v>868</v>
      </c>
      <c r="C239" s="25" t="s">
        <v>869</v>
      </c>
      <c r="D239" s="25" t="s">
        <v>870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10</v>
      </c>
      <c r="K239" s="31">
        <f>2725</f>
        <v>2725</v>
      </c>
      <c r="L239" s="32" t="s">
        <v>1110</v>
      </c>
      <c r="M239" s="31">
        <f>2725</f>
        <v>2725</v>
      </c>
      <c r="N239" s="32" t="s">
        <v>1110</v>
      </c>
      <c r="O239" s="31">
        <f>2449</f>
        <v>2449</v>
      </c>
      <c r="P239" s="32" t="s">
        <v>1115</v>
      </c>
      <c r="Q239" s="31">
        <f>2610.5</f>
        <v>2610.5</v>
      </c>
      <c r="R239" s="32" t="s">
        <v>777</v>
      </c>
      <c r="S239" s="33">
        <f>2570.35</f>
        <v>2570.35</v>
      </c>
      <c r="T239" s="30">
        <f>87560</f>
        <v>87560</v>
      </c>
      <c r="U239" s="30" t="str">
        <f>"－"</f>
        <v>－</v>
      </c>
      <c r="V239" s="30">
        <f>225540435</f>
        <v>225540435</v>
      </c>
      <c r="W239" s="30" t="str">
        <f>"－"</f>
        <v>－</v>
      </c>
      <c r="X239" s="34">
        <f>20</f>
        <v>20</v>
      </c>
    </row>
    <row r="240" spans="1:24">
      <c r="A240" s="25" t="s">
        <v>1201</v>
      </c>
      <c r="B240" s="25" t="s">
        <v>871</v>
      </c>
      <c r="C240" s="25" t="s">
        <v>872</v>
      </c>
      <c r="D240" s="25" t="s">
        <v>873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1236</f>
        <v>1236</v>
      </c>
      <c r="L240" s="32" t="s">
        <v>1110</v>
      </c>
      <c r="M240" s="31">
        <f>1239</f>
        <v>1239</v>
      </c>
      <c r="N240" s="32" t="s">
        <v>1110</v>
      </c>
      <c r="O240" s="31">
        <f>1154</f>
        <v>1154</v>
      </c>
      <c r="P240" s="32" t="s">
        <v>674</v>
      </c>
      <c r="Q240" s="31">
        <f>1224</f>
        <v>1224</v>
      </c>
      <c r="R240" s="32" t="s">
        <v>777</v>
      </c>
      <c r="S240" s="33">
        <f>1204.57</f>
        <v>1204.57</v>
      </c>
      <c r="T240" s="30">
        <f>1863726</f>
        <v>1863726</v>
      </c>
      <c r="U240" s="30">
        <f>1214333</f>
        <v>1214333</v>
      </c>
      <c r="V240" s="30">
        <f>2267082968</f>
        <v>2267082968</v>
      </c>
      <c r="W240" s="30">
        <f>1489104544</f>
        <v>1489104544</v>
      </c>
      <c r="X240" s="34">
        <f>21</f>
        <v>21</v>
      </c>
    </row>
    <row r="241" spans="1:24">
      <c r="A241" s="25" t="s">
        <v>1201</v>
      </c>
      <c r="B241" s="25" t="s">
        <v>877</v>
      </c>
      <c r="C241" s="25" t="s">
        <v>878</v>
      </c>
      <c r="D241" s="25" t="s">
        <v>879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81080</f>
        <v>81080</v>
      </c>
      <c r="L241" s="32" t="s">
        <v>1110</v>
      </c>
      <c r="M241" s="31">
        <f>82280</f>
        <v>82280</v>
      </c>
      <c r="N241" s="32" t="s">
        <v>676</v>
      </c>
      <c r="O241" s="31">
        <f>69700</f>
        <v>69700</v>
      </c>
      <c r="P241" s="32" t="s">
        <v>1113</v>
      </c>
      <c r="Q241" s="31">
        <f>81170</f>
        <v>81170</v>
      </c>
      <c r="R241" s="32" t="s">
        <v>777</v>
      </c>
      <c r="S241" s="33">
        <f>78056.19</f>
        <v>78056.19</v>
      </c>
      <c r="T241" s="30">
        <f>70107</f>
        <v>70107</v>
      </c>
      <c r="U241" s="30" t="str">
        <f>"－"</f>
        <v>－</v>
      </c>
      <c r="V241" s="30">
        <f>5237755920</f>
        <v>5237755920</v>
      </c>
      <c r="W241" s="30" t="str">
        <f>"－"</f>
        <v>－</v>
      </c>
      <c r="X241" s="34">
        <f>21</f>
        <v>21</v>
      </c>
    </row>
    <row r="242" spans="1:24">
      <c r="A242" s="25" t="s">
        <v>1201</v>
      </c>
      <c r="B242" s="25" t="s">
        <v>880</v>
      </c>
      <c r="C242" s="25" t="s">
        <v>881</v>
      </c>
      <c r="D242" s="25" t="s">
        <v>882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7211</f>
        <v>7211</v>
      </c>
      <c r="L242" s="32" t="s">
        <v>1110</v>
      </c>
      <c r="M242" s="31">
        <f>7755</f>
        <v>7755</v>
      </c>
      <c r="N242" s="32" t="s">
        <v>1113</v>
      </c>
      <c r="O242" s="31">
        <f>7091</f>
        <v>7091</v>
      </c>
      <c r="P242" s="32" t="s">
        <v>676</v>
      </c>
      <c r="Q242" s="31">
        <f>7139</f>
        <v>7139</v>
      </c>
      <c r="R242" s="32" t="s">
        <v>777</v>
      </c>
      <c r="S242" s="33">
        <f>7308.81</f>
        <v>7308.81</v>
      </c>
      <c r="T242" s="30">
        <f>236399</f>
        <v>236399</v>
      </c>
      <c r="U242" s="30">
        <f>56702</f>
        <v>56702</v>
      </c>
      <c r="V242" s="30">
        <f>1764029417</f>
        <v>1764029417</v>
      </c>
      <c r="W242" s="30">
        <f>428015080</f>
        <v>428015080</v>
      </c>
      <c r="X242" s="34">
        <f>21</f>
        <v>21</v>
      </c>
    </row>
    <row r="243" spans="1:24">
      <c r="A243" s="25" t="s">
        <v>1201</v>
      </c>
      <c r="B243" s="25" t="s">
        <v>884</v>
      </c>
      <c r="C243" s="25" t="s">
        <v>885</v>
      </c>
      <c r="D243" s="25" t="s">
        <v>886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17365</f>
        <v>17365</v>
      </c>
      <c r="L243" s="32" t="s">
        <v>1110</v>
      </c>
      <c r="M243" s="31">
        <f>17775</f>
        <v>17775</v>
      </c>
      <c r="N243" s="32" t="s">
        <v>874</v>
      </c>
      <c r="O243" s="31">
        <f>14805</f>
        <v>14805</v>
      </c>
      <c r="P243" s="32" t="s">
        <v>1124</v>
      </c>
      <c r="Q243" s="31">
        <f>17535</f>
        <v>17535</v>
      </c>
      <c r="R243" s="32" t="s">
        <v>777</v>
      </c>
      <c r="S243" s="33">
        <f>16862.62</f>
        <v>16862.62</v>
      </c>
      <c r="T243" s="30">
        <f>58260</f>
        <v>58260</v>
      </c>
      <c r="U243" s="30" t="str">
        <f>"－"</f>
        <v>－</v>
      </c>
      <c r="V243" s="30">
        <f>947215500</f>
        <v>947215500</v>
      </c>
      <c r="W243" s="30" t="str">
        <f>"－"</f>
        <v>－</v>
      </c>
      <c r="X243" s="34">
        <f>21</f>
        <v>21</v>
      </c>
    </row>
    <row r="244" spans="1:24">
      <c r="A244" s="25" t="s">
        <v>1201</v>
      </c>
      <c r="B244" s="25" t="s">
        <v>1192</v>
      </c>
      <c r="C244" s="25" t="s">
        <v>1191</v>
      </c>
      <c r="D244" s="25" t="s">
        <v>1190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</v>
      </c>
      <c r="K244" s="31">
        <f>955</f>
        <v>955</v>
      </c>
      <c r="L244" s="32" t="s">
        <v>1110</v>
      </c>
      <c r="M244" s="31">
        <f>955</f>
        <v>955</v>
      </c>
      <c r="N244" s="32" t="s">
        <v>1110</v>
      </c>
      <c r="O244" s="31">
        <f>790</f>
        <v>790</v>
      </c>
      <c r="P244" s="32" t="s">
        <v>674</v>
      </c>
      <c r="Q244" s="31">
        <f>917</f>
        <v>917</v>
      </c>
      <c r="R244" s="32" t="s">
        <v>777</v>
      </c>
      <c r="S244" s="33">
        <f>903.9</f>
        <v>903.9</v>
      </c>
      <c r="T244" s="30">
        <f>139490</f>
        <v>139490</v>
      </c>
      <c r="U244" s="30">
        <f>20</f>
        <v>20</v>
      </c>
      <c r="V244" s="30">
        <f>125002697</f>
        <v>125002697</v>
      </c>
      <c r="W244" s="30">
        <f>16960</f>
        <v>16960</v>
      </c>
      <c r="X244" s="34">
        <f>21</f>
        <v>21</v>
      </c>
    </row>
    <row r="245" spans="1:24">
      <c r="A245" s="25" t="s">
        <v>1201</v>
      </c>
      <c r="B245" s="25" t="s">
        <v>887</v>
      </c>
      <c r="C245" s="25" t="s">
        <v>888</v>
      </c>
      <c r="D245" s="25" t="s">
        <v>889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7254</f>
        <v>7254</v>
      </c>
      <c r="L245" s="32" t="s">
        <v>1110</v>
      </c>
      <c r="M245" s="31">
        <f>7760</f>
        <v>7760</v>
      </c>
      <c r="N245" s="32" t="s">
        <v>1113</v>
      </c>
      <c r="O245" s="31">
        <f>7141</f>
        <v>7141</v>
      </c>
      <c r="P245" s="32" t="s">
        <v>676</v>
      </c>
      <c r="Q245" s="31">
        <f>7186</f>
        <v>7186</v>
      </c>
      <c r="R245" s="32" t="s">
        <v>777</v>
      </c>
      <c r="S245" s="33">
        <f>7352.33</f>
        <v>7352.33</v>
      </c>
      <c r="T245" s="30">
        <f>48540</f>
        <v>48540</v>
      </c>
      <c r="U245" s="30">
        <f>10</f>
        <v>10</v>
      </c>
      <c r="V245" s="30">
        <f>367144780</f>
        <v>367144780</v>
      </c>
      <c r="W245" s="30">
        <f>76030</f>
        <v>76030</v>
      </c>
      <c r="X245" s="34">
        <f>21</f>
        <v>21</v>
      </c>
    </row>
    <row r="246" spans="1:24">
      <c r="A246" s="25" t="s">
        <v>1201</v>
      </c>
      <c r="B246" s="25" t="s">
        <v>890</v>
      </c>
      <c r="C246" s="25" t="s">
        <v>891</v>
      </c>
      <c r="D246" s="25" t="s">
        <v>892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10</v>
      </c>
      <c r="K246" s="31">
        <f>704</f>
        <v>704</v>
      </c>
      <c r="L246" s="32" t="s">
        <v>1110</v>
      </c>
      <c r="M246" s="31">
        <f>704</f>
        <v>704</v>
      </c>
      <c r="N246" s="32" t="s">
        <v>1110</v>
      </c>
      <c r="O246" s="31">
        <f>609.5</f>
        <v>609.5</v>
      </c>
      <c r="P246" s="32" t="s">
        <v>1115</v>
      </c>
      <c r="Q246" s="31">
        <f>669.1</f>
        <v>669.1</v>
      </c>
      <c r="R246" s="32" t="s">
        <v>777</v>
      </c>
      <c r="S246" s="33">
        <f>657.74</f>
        <v>657.74</v>
      </c>
      <c r="T246" s="30">
        <f>383330</f>
        <v>383330</v>
      </c>
      <c r="U246" s="30">
        <f>400</f>
        <v>400</v>
      </c>
      <c r="V246" s="30">
        <f>248758602</f>
        <v>248758602</v>
      </c>
      <c r="W246" s="30">
        <f>241043</f>
        <v>241043</v>
      </c>
      <c r="X246" s="34">
        <f>21</f>
        <v>21</v>
      </c>
    </row>
    <row r="247" spans="1:24">
      <c r="A247" s="25" t="s">
        <v>1201</v>
      </c>
      <c r="B247" s="25" t="s">
        <v>893</v>
      </c>
      <c r="C247" s="25" t="s">
        <v>894</v>
      </c>
      <c r="D247" s="25" t="s">
        <v>895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10</v>
      </c>
      <c r="K247" s="31">
        <f>572.2</f>
        <v>572.20000000000005</v>
      </c>
      <c r="L247" s="32" t="s">
        <v>1110</v>
      </c>
      <c r="M247" s="31">
        <f>579.4</f>
        <v>579.4</v>
      </c>
      <c r="N247" s="32" t="s">
        <v>676</v>
      </c>
      <c r="O247" s="31">
        <f>540</f>
        <v>540</v>
      </c>
      <c r="P247" s="32" t="s">
        <v>1113</v>
      </c>
      <c r="Q247" s="31">
        <f>576.2</f>
        <v>576.20000000000005</v>
      </c>
      <c r="R247" s="32" t="s">
        <v>777</v>
      </c>
      <c r="S247" s="33">
        <f>563.28</f>
        <v>563.28</v>
      </c>
      <c r="T247" s="30">
        <f>496670</f>
        <v>496670</v>
      </c>
      <c r="U247" s="30">
        <f>20</f>
        <v>20</v>
      </c>
      <c r="V247" s="30">
        <f>280077638</f>
        <v>280077638</v>
      </c>
      <c r="W247" s="30">
        <f>11112</f>
        <v>11112</v>
      </c>
      <c r="X247" s="34">
        <f>21</f>
        <v>21</v>
      </c>
    </row>
    <row r="248" spans="1:24">
      <c r="A248" s="25" t="s">
        <v>1201</v>
      </c>
      <c r="B248" s="25" t="s">
        <v>934</v>
      </c>
      <c r="C248" s="25" t="s">
        <v>935</v>
      </c>
      <c r="D248" s="25" t="s">
        <v>936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</v>
      </c>
      <c r="K248" s="31">
        <f>1900</f>
        <v>1900</v>
      </c>
      <c r="L248" s="32" t="s">
        <v>1110</v>
      </c>
      <c r="M248" s="31">
        <f>1904</f>
        <v>1904</v>
      </c>
      <c r="N248" s="32" t="s">
        <v>1110</v>
      </c>
      <c r="O248" s="31">
        <f>1407</f>
        <v>1407</v>
      </c>
      <c r="P248" s="32" t="s">
        <v>674</v>
      </c>
      <c r="Q248" s="31">
        <f>1759</f>
        <v>1759</v>
      </c>
      <c r="R248" s="32" t="s">
        <v>777</v>
      </c>
      <c r="S248" s="33">
        <f>1737.86</f>
        <v>1737.86</v>
      </c>
      <c r="T248" s="30">
        <f>16348204</f>
        <v>16348204</v>
      </c>
      <c r="U248" s="30">
        <f>89813</f>
        <v>89813</v>
      </c>
      <c r="V248" s="30">
        <f>27672477324</f>
        <v>27672477324</v>
      </c>
      <c r="W248" s="30">
        <f>155334259</f>
        <v>155334259</v>
      </c>
      <c r="X248" s="34">
        <f>21</f>
        <v>21</v>
      </c>
    </row>
    <row r="249" spans="1:24">
      <c r="A249" s="25" t="s">
        <v>1201</v>
      </c>
      <c r="B249" s="25" t="s">
        <v>937</v>
      </c>
      <c r="C249" s="25" t="s">
        <v>938</v>
      </c>
      <c r="D249" s="25" t="s">
        <v>939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</v>
      </c>
      <c r="K249" s="31">
        <f>2102</f>
        <v>2102</v>
      </c>
      <c r="L249" s="32" t="s">
        <v>1110</v>
      </c>
      <c r="M249" s="31">
        <f>2120</f>
        <v>2120</v>
      </c>
      <c r="N249" s="32" t="s">
        <v>760</v>
      </c>
      <c r="O249" s="31">
        <f>1707</f>
        <v>1707</v>
      </c>
      <c r="P249" s="32" t="s">
        <v>674</v>
      </c>
      <c r="Q249" s="31">
        <f>1978</f>
        <v>1978</v>
      </c>
      <c r="R249" s="32" t="s">
        <v>777</v>
      </c>
      <c r="S249" s="33">
        <f>1996.57</f>
        <v>1996.57</v>
      </c>
      <c r="T249" s="30">
        <f>16242776</f>
        <v>16242776</v>
      </c>
      <c r="U249" s="30">
        <f>5997</f>
        <v>5997</v>
      </c>
      <c r="V249" s="30">
        <f>31829333096</f>
        <v>31829333096</v>
      </c>
      <c r="W249" s="30">
        <f>11882246</f>
        <v>11882246</v>
      </c>
      <c r="X249" s="34">
        <f>21</f>
        <v>21</v>
      </c>
    </row>
    <row r="250" spans="1:24">
      <c r="A250" s="25" t="s">
        <v>1201</v>
      </c>
      <c r="B250" s="25" t="s">
        <v>940</v>
      </c>
      <c r="C250" s="25" t="s">
        <v>941</v>
      </c>
      <c r="D250" s="25" t="s">
        <v>942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10</v>
      </c>
      <c r="K250" s="31">
        <f>759</f>
        <v>759</v>
      </c>
      <c r="L250" s="32" t="s">
        <v>1110</v>
      </c>
      <c r="M250" s="31">
        <f>908.6</f>
        <v>908.6</v>
      </c>
      <c r="N250" s="32" t="s">
        <v>1124</v>
      </c>
      <c r="O250" s="31">
        <f>759</f>
        <v>759</v>
      </c>
      <c r="P250" s="32" t="s">
        <v>1110</v>
      </c>
      <c r="Q250" s="31">
        <f>780.2</f>
        <v>780.2</v>
      </c>
      <c r="R250" s="32" t="s">
        <v>777</v>
      </c>
      <c r="S250" s="33">
        <f>782.64</f>
        <v>782.64</v>
      </c>
      <c r="T250" s="30">
        <f>222850</f>
        <v>222850</v>
      </c>
      <c r="U250" s="30">
        <f>10</f>
        <v>10</v>
      </c>
      <c r="V250" s="30">
        <f>174428578</f>
        <v>174428578</v>
      </c>
      <c r="W250" s="30">
        <f>7812</f>
        <v>7812</v>
      </c>
      <c r="X250" s="34">
        <f>15</f>
        <v>15</v>
      </c>
    </row>
    <row r="251" spans="1:24">
      <c r="A251" s="25" t="s">
        <v>1201</v>
      </c>
      <c r="B251" s="25" t="s">
        <v>943</v>
      </c>
      <c r="C251" s="25" t="s">
        <v>944</v>
      </c>
      <c r="D251" s="25" t="s">
        <v>945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10</v>
      </c>
      <c r="K251" s="31">
        <f>756.3</f>
        <v>756.3</v>
      </c>
      <c r="L251" s="32" t="s">
        <v>1110</v>
      </c>
      <c r="M251" s="31">
        <f>887.1</f>
        <v>887.1</v>
      </c>
      <c r="N251" s="32" t="s">
        <v>1124</v>
      </c>
      <c r="O251" s="31">
        <f>756.3</f>
        <v>756.3</v>
      </c>
      <c r="P251" s="32" t="s">
        <v>1110</v>
      </c>
      <c r="Q251" s="31">
        <f>775</f>
        <v>775</v>
      </c>
      <c r="R251" s="32" t="s">
        <v>777</v>
      </c>
      <c r="S251" s="33">
        <f>776.87</f>
        <v>776.87</v>
      </c>
      <c r="T251" s="30">
        <f>252050</f>
        <v>252050</v>
      </c>
      <c r="U251" s="30" t="str">
        <f>"－"</f>
        <v>－</v>
      </c>
      <c r="V251" s="30">
        <f>195747280</f>
        <v>195747280</v>
      </c>
      <c r="W251" s="30" t="str">
        <f>"－"</f>
        <v>－</v>
      </c>
      <c r="X251" s="34">
        <f>13</f>
        <v>13</v>
      </c>
    </row>
    <row r="252" spans="1:24">
      <c r="A252" s="25" t="s">
        <v>1201</v>
      </c>
      <c r="B252" s="25" t="s">
        <v>952</v>
      </c>
      <c r="C252" s="25" t="s">
        <v>953</v>
      </c>
      <c r="D252" s="25" t="s">
        <v>954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15730</f>
        <v>15730</v>
      </c>
      <c r="L252" s="32" t="s">
        <v>1110</v>
      </c>
      <c r="M252" s="31">
        <f>15730</f>
        <v>15730</v>
      </c>
      <c r="N252" s="32" t="s">
        <v>1110</v>
      </c>
      <c r="O252" s="31">
        <f>13885</f>
        <v>13885</v>
      </c>
      <c r="P252" s="32" t="s">
        <v>674</v>
      </c>
      <c r="Q252" s="31">
        <f>15295</f>
        <v>15295</v>
      </c>
      <c r="R252" s="32" t="s">
        <v>777</v>
      </c>
      <c r="S252" s="33">
        <f>15070</f>
        <v>15070</v>
      </c>
      <c r="T252" s="30">
        <f>519058</f>
        <v>519058</v>
      </c>
      <c r="U252" s="30">
        <f>7</f>
        <v>7</v>
      </c>
      <c r="V252" s="30">
        <f>7569973920</f>
        <v>7569973920</v>
      </c>
      <c r="W252" s="30">
        <f>104310</f>
        <v>104310</v>
      </c>
      <c r="X252" s="34">
        <f>21</f>
        <v>21</v>
      </c>
    </row>
    <row r="253" spans="1:24">
      <c r="A253" s="25" t="s">
        <v>1201</v>
      </c>
      <c r="B253" s="25" t="s">
        <v>955</v>
      </c>
      <c r="C253" s="25" t="s">
        <v>956</v>
      </c>
      <c r="D253" s="25" t="s">
        <v>957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</v>
      </c>
      <c r="K253" s="31">
        <f>43460</f>
        <v>43460</v>
      </c>
      <c r="L253" s="32" t="s">
        <v>1110</v>
      </c>
      <c r="M253" s="31">
        <f>44350</f>
        <v>44350</v>
      </c>
      <c r="N253" s="32" t="s">
        <v>676</v>
      </c>
      <c r="O253" s="31">
        <f>40540</f>
        <v>40540</v>
      </c>
      <c r="P253" s="32" t="s">
        <v>1124</v>
      </c>
      <c r="Q253" s="31">
        <f>43750</f>
        <v>43750</v>
      </c>
      <c r="R253" s="32" t="s">
        <v>777</v>
      </c>
      <c r="S253" s="33">
        <f>42869.05</f>
        <v>42869.05</v>
      </c>
      <c r="T253" s="30">
        <f>87650</f>
        <v>87650</v>
      </c>
      <c r="U253" s="30">
        <f>10</f>
        <v>10</v>
      </c>
      <c r="V253" s="30">
        <f>3733272330</f>
        <v>3733272330</v>
      </c>
      <c r="W253" s="30">
        <f>434000</f>
        <v>434000</v>
      </c>
      <c r="X253" s="34">
        <f>21</f>
        <v>21</v>
      </c>
    </row>
    <row r="254" spans="1:24">
      <c r="A254" s="25" t="s">
        <v>1201</v>
      </c>
      <c r="B254" s="25" t="s">
        <v>958</v>
      </c>
      <c r="C254" s="25" t="s">
        <v>959</v>
      </c>
      <c r="D254" s="25" t="s">
        <v>960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</v>
      </c>
      <c r="K254" s="31">
        <f>18990</f>
        <v>18990</v>
      </c>
      <c r="L254" s="32" t="s">
        <v>1110</v>
      </c>
      <c r="M254" s="31">
        <f>22725</f>
        <v>22725</v>
      </c>
      <c r="N254" s="32" t="s">
        <v>674</v>
      </c>
      <c r="O254" s="31">
        <f>18310</f>
        <v>18310</v>
      </c>
      <c r="P254" s="32" t="s">
        <v>676</v>
      </c>
      <c r="Q254" s="31">
        <f>18530</f>
        <v>18530</v>
      </c>
      <c r="R254" s="32" t="s">
        <v>777</v>
      </c>
      <c r="S254" s="33">
        <f>19463.33</f>
        <v>19463.330000000002</v>
      </c>
      <c r="T254" s="30">
        <f>121950</f>
        <v>121950</v>
      </c>
      <c r="U254" s="30" t="str">
        <f>"－"</f>
        <v>－</v>
      </c>
      <c r="V254" s="30">
        <f>2432661595</f>
        <v>2432661595</v>
      </c>
      <c r="W254" s="30" t="str">
        <f>"－"</f>
        <v>－</v>
      </c>
      <c r="X254" s="34">
        <f>21</f>
        <v>21</v>
      </c>
    </row>
    <row r="255" spans="1:24">
      <c r="A255" s="25" t="s">
        <v>1201</v>
      </c>
      <c r="B255" s="25" t="s">
        <v>1189</v>
      </c>
      <c r="C255" s="25" t="s">
        <v>1188</v>
      </c>
      <c r="D255" s="25" t="s">
        <v>1187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</v>
      </c>
      <c r="K255" s="31">
        <f>969</f>
        <v>969</v>
      </c>
      <c r="L255" s="32" t="s">
        <v>1110</v>
      </c>
      <c r="M255" s="31">
        <f>969</f>
        <v>969</v>
      </c>
      <c r="N255" s="32" t="s">
        <v>1110</v>
      </c>
      <c r="O255" s="31">
        <f>765</f>
        <v>765</v>
      </c>
      <c r="P255" s="32" t="s">
        <v>674</v>
      </c>
      <c r="Q255" s="31">
        <f>849</f>
        <v>849</v>
      </c>
      <c r="R255" s="32" t="s">
        <v>777</v>
      </c>
      <c r="S255" s="33">
        <f>849.48</f>
        <v>849.48</v>
      </c>
      <c r="T255" s="30">
        <f>118737</f>
        <v>118737</v>
      </c>
      <c r="U255" s="30" t="str">
        <f>"－"</f>
        <v>－</v>
      </c>
      <c r="V255" s="30">
        <f>101188630</f>
        <v>101188630</v>
      </c>
      <c r="W255" s="30" t="str">
        <f>"－"</f>
        <v>－</v>
      </c>
      <c r="X255" s="34">
        <f>21</f>
        <v>21</v>
      </c>
    </row>
    <row r="256" spans="1:24">
      <c r="A256" s="25" t="s">
        <v>1201</v>
      </c>
      <c r="B256" s="25" t="s">
        <v>961</v>
      </c>
      <c r="C256" s="25" t="s">
        <v>962</v>
      </c>
      <c r="D256" s="25" t="s">
        <v>963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252.4</f>
        <v>252.4</v>
      </c>
      <c r="L256" s="32" t="s">
        <v>1110</v>
      </c>
      <c r="M256" s="31">
        <f>283.2</f>
        <v>283.2</v>
      </c>
      <c r="N256" s="32" t="s">
        <v>674</v>
      </c>
      <c r="O256" s="31">
        <f>202</f>
        <v>202</v>
      </c>
      <c r="P256" s="32" t="s">
        <v>876</v>
      </c>
      <c r="Q256" s="31">
        <f>233.9</f>
        <v>233.9</v>
      </c>
      <c r="R256" s="32" t="s">
        <v>777</v>
      </c>
      <c r="S256" s="33">
        <f>230.55</f>
        <v>230.55</v>
      </c>
      <c r="T256" s="30">
        <f>112460</f>
        <v>112460</v>
      </c>
      <c r="U256" s="30" t="str">
        <f>"－"</f>
        <v>－</v>
      </c>
      <c r="V256" s="30">
        <f>25963519</f>
        <v>25963519</v>
      </c>
      <c r="W256" s="30" t="str">
        <f>"－"</f>
        <v>－</v>
      </c>
      <c r="X256" s="34">
        <f>21</f>
        <v>21</v>
      </c>
    </row>
    <row r="257" spans="1:24">
      <c r="A257" s="25" t="s">
        <v>1201</v>
      </c>
      <c r="B257" s="25" t="s">
        <v>964</v>
      </c>
      <c r="C257" s="25" t="s">
        <v>965</v>
      </c>
      <c r="D257" s="25" t="s">
        <v>966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10</v>
      </c>
      <c r="K257" s="31">
        <f>778.8</f>
        <v>778.8</v>
      </c>
      <c r="L257" s="32" t="s">
        <v>1110</v>
      </c>
      <c r="M257" s="31">
        <f>778.8</f>
        <v>778.8</v>
      </c>
      <c r="N257" s="32" t="s">
        <v>1110</v>
      </c>
      <c r="O257" s="31">
        <f>732</f>
        <v>732</v>
      </c>
      <c r="P257" s="32" t="s">
        <v>1124</v>
      </c>
      <c r="Q257" s="31">
        <f>752.4</f>
        <v>752.4</v>
      </c>
      <c r="R257" s="32" t="s">
        <v>777</v>
      </c>
      <c r="S257" s="33">
        <f>751.51</f>
        <v>751.51</v>
      </c>
      <c r="T257" s="30">
        <f>5439580</f>
        <v>5439580</v>
      </c>
      <c r="U257" s="30">
        <f>5067880</f>
        <v>5067880</v>
      </c>
      <c r="V257" s="30">
        <f>4137041163</f>
        <v>4137041163</v>
      </c>
      <c r="W257" s="30">
        <f>3858771950</f>
        <v>3858771950</v>
      </c>
      <c r="X257" s="34">
        <f>21</f>
        <v>21</v>
      </c>
    </row>
    <row r="258" spans="1:24">
      <c r="A258" s="25" t="s">
        <v>1201</v>
      </c>
      <c r="B258" s="25" t="s">
        <v>982</v>
      </c>
      <c r="C258" s="25" t="s">
        <v>983</v>
      </c>
      <c r="D258" s="25" t="s">
        <v>984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</v>
      </c>
      <c r="K258" s="31">
        <f>1175</f>
        <v>1175</v>
      </c>
      <c r="L258" s="32" t="s">
        <v>1110</v>
      </c>
      <c r="M258" s="31">
        <f>1177</f>
        <v>1177</v>
      </c>
      <c r="N258" s="32" t="s">
        <v>1110</v>
      </c>
      <c r="O258" s="31">
        <f>1037</f>
        <v>1037</v>
      </c>
      <c r="P258" s="32" t="s">
        <v>674</v>
      </c>
      <c r="Q258" s="31">
        <f>1140</f>
        <v>1140</v>
      </c>
      <c r="R258" s="32" t="s">
        <v>777</v>
      </c>
      <c r="S258" s="33">
        <f>1110.71</f>
        <v>1110.71</v>
      </c>
      <c r="T258" s="30">
        <f>298789</f>
        <v>298789</v>
      </c>
      <c r="U258" s="30" t="str">
        <f>"－"</f>
        <v>－</v>
      </c>
      <c r="V258" s="30">
        <f>332639343</f>
        <v>332639343</v>
      </c>
      <c r="W258" s="30" t="str">
        <f>"－"</f>
        <v>－</v>
      </c>
      <c r="X258" s="34">
        <f>21</f>
        <v>21</v>
      </c>
    </row>
    <row r="259" spans="1:24">
      <c r="A259" s="25" t="s">
        <v>1201</v>
      </c>
      <c r="B259" s="25" t="s">
        <v>985</v>
      </c>
      <c r="C259" s="25" t="s">
        <v>986</v>
      </c>
      <c r="D259" s="25" t="s">
        <v>987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</v>
      </c>
      <c r="K259" s="31">
        <f>1171</f>
        <v>1171</v>
      </c>
      <c r="L259" s="32" t="s">
        <v>1110</v>
      </c>
      <c r="M259" s="31">
        <f>1174</f>
        <v>1174</v>
      </c>
      <c r="N259" s="32" t="s">
        <v>760</v>
      </c>
      <c r="O259" s="31">
        <f>1076</f>
        <v>1076</v>
      </c>
      <c r="P259" s="32" t="s">
        <v>674</v>
      </c>
      <c r="Q259" s="31">
        <f>1143</f>
        <v>1143</v>
      </c>
      <c r="R259" s="32" t="s">
        <v>777</v>
      </c>
      <c r="S259" s="33">
        <f>1125.9</f>
        <v>1125.9000000000001</v>
      </c>
      <c r="T259" s="30">
        <f>240482</f>
        <v>240482</v>
      </c>
      <c r="U259" s="30">
        <f>1</f>
        <v>1</v>
      </c>
      <c r="V259" s="30">
        <f>271010848</f>
        <v>271010848</v>
      </c>
      <c r="W259" s="30">
        <f>1129</f>
        <v>1129</v>
      </c>
      <c r="X259" s="34">
        <f>21</f>
        <v>21</v>
      </c>
    </row>
    <row r="260" spans="1:24">
      <c r="A260" s="25" t="s">
        <v>1201</v>
      </c>
      <c r="B260" s="25" t="s">
        <v>988</v>
      </c>
      <c r="C260" s="25" t="s">
        <v>989</v>
      </c>
      <c r="D260" s="25" t="s">
        <v>990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</v>
      </c>
      <c r="K260" s="31">
        <f>722</f>
        <v>722</v>
      </c>
      <c r="L260" s="32" t="s">
        <v>1110</v>
      </c>
      <c r="M260" s="31">
        <f>722</f>
        <v>722</v>
      </c>
      <c r="N260" s="32" t="s">
        <v>1110</v>
      </c>
      <c r="O260" s="31">
        <f>635</f>
        <v>635</v>
      </c>
      <c r="P260" s="32" t="s">
        <v>883</v>
      </c>
      <c r="Q260" s="31">
        <f>682</f>
        <v>682</v>
      </c>
      <c r="R260" s="32" t="s">
        <v>777</v>
      </c>
      <c r="S260" s="33">
        <f>662</f>
        <v>662</v>
      </c>
      <c r="T260" s="30">
        <f>356166</f>
        <v>356166</v>
      </c>
      <c r="U260" s="30" t="str">
        <f>"－"</f>
        <v>－</v>
      </c>
      <c r="V260" s="30">
        <f>236319105</f>
        <v>236319105</v>
      </c>
      <c r="W260" s="30" t="str">
        <f>"－"</f>
        <v>－</v>
      </c>
      <c r="X260" s="34">
        <f>21</f>
        <v>21</v>
      </c>
    </row>
    <row r="261" spans="1:24">
      <c r="A261" s="25" t="s">
        <v>1201</v>
      </c>
      <c r="B261" s="25" t="s">
        <v>1059</v>
      </c>
      <c r="C261" s="25" t="s">
        <v>1060</v>
      </c>
      <c r="D261" s="25" t="s">
        <v>1061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215</f>
        <v>215</v>
      </c>
      <c r="L261" s="32" t="s">
        <v>1110</v>
      </c>
      <c r="M261" s="31">
        <f>219.5</f>
        <v>219.5</v>
      </c>
      <c r="N261" s="32" t="s">
        <v>760</v>
      </c>
      <c r="O261" s="31">
        <f>211.7</f>
        <v>211.7</v>
      </c>
      <c r="P261" s="32" t="s">
        <v>1117</v>
      </c>
      <c r="Q261" s="31">
        <f>214.3</f>
        <v>214.3</v>
      </c>
      <c r="R261" s="32" t="s">
        <v>777</v>
      </c>
      <c r="S261" s="33">
        <f>215.68</f>
        <v>215.68</v>
      </c>
      <c r="T261" s="30">
        <f>11807900</f>
        <v>11807900</v>
      </c>
      <c r="U261" s="30" t="str">
        <f>"－"</f>
        <v>－</v>
      </c>
      <c r="V261" s="30">
        <f>2547272886</f>
        <v>2547272886</v>
      </c>
      <c r="W261" s="30" t="str">
        <f>"－"</f>
        <v>－</v>
      </c>
      <c r="X261" s="34">
        <f>21</f>
        <v>21</v>
      </c>
    </row>
    <row r="262" spans="1:24">
      <c r="A262" s="25" t="s">
        <v>1201</v>
      </c>
      <c r="B262" s="25" t="s">
        <v>1062</v>
      </c>
      <c r="C262" s="25" t="s">
        <v>1063</v>
      </c>
      <c r="D262" s="25" t="s">
        <v>1064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209.8</f>
        <v>209.8</v>
      </c>
      <c r="L262" s="32" t="s">
        <v>1110</v>
      </c>
      <c r="M262" s="31">
        <f>211.5</f>
        <v>211.5</v>
      </c>
      <c r="N262" s="32" t="s">
        <v>760</v>
      </c>
      <c r="O262" s="31">
        <f>201.4</f>
        <v>201.4</v>
      </c>
      <c r="P262" s="32" t="s">
        <v>674</v>
      </c>
      <c r="Q262" s="31">
        <f>206.5</f>
        <v>206.5</v>
      </c>
      <c r="R262" s="32" t="s">
        <v>777</v>
      </c>
      <c r="S262" s="33">
        <f>207.88</f>
        <v>207.88</v>
      </c>
      <c r="T262" s="30">
        <f>1350110</f>
        <v>1350110</v>
      </c>
      <c r="U262" s="30">
        <f>8130</f>
        <v>8130</v>
      </c>
      <c r="V262" s="30">
        <f>280211213</f>
        <v>280211213</v>
      </c>
      <c r="W262" s="30">
        <f>1684750</f>
        <v>1684750</v>
      </c>
      <c r="X262" s="34">
        <f>21</f>
        <v>21</v>
      </c>
    </row>
    <row r="263" spans="1:24">
      <c r="A263" s="25" t="s">
        <v>1201</v>
      </c>
      <c r="B263" s="25" t="s">
        <v>1065</v>
      </c>
      <c r="C263" s="25" t="s">
        <v>1066</v>
      </c>
      <c r="D263" s="25" t="s">
        <v>1067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210.8</f>
        <v>210.8</v>
      </c>
      <c r="L263" s="32" t="s">
        <v>1110</v>
      </c>
      <c r="M263" s="31">
        <f>214.8</f>
        <v>214.8</v>
      </c>
      <c r="N263" s="32" t="s">
        <v>1113</v>
      </c>
      <c r="O263" s="31">
        <f>190</f>
        <v>190</v>
      </c>
      <c r="P263" s="32" t="s">
        <v>674</v>
      </c>
      <c r="Q263" s="31">
        <f>207.6</f>
        <v>207.6</v>
      </c>
      <c r="R263" s="32" t="s">
        <v>777</v>
      </c>
      <c r="S263" s="33">
        <f>208.28</f>
        <v>208.28</v>
      </c>
      <c r="T263" s="30">
        <f>830060</f>
        <v>830060</v>
      </c>
      <c r="U263" s="30">
        <f>900</f>
        <v>900</v>
      </c>
      <c r="V263" s="30">
        <f>171888859</f>
        <v>171888859</v>
      </c>
      <c r="W263" s="30">
        <f>189313</f>
        <v>189313</v>
      </c>
      <c r="X263" s="34">
        <f>21</f>
        <v>21</v>
      </c>
    </row>
    <row r="264" spans="1:24">
      <c r="A264" s="25" t="s">
        <v>1201</v>
      </c>
      <c r="B264" s="25" t="s">
        <v>1068</v>
      </c>
      <c r="C264" s="25" t="s">
        <v>1069</v>
      </c>
      <c r="D264" s="25" t="s">
        <v>1070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10</v>
      </c>
      <c r="K264" s="31">
        <f>220</f>
        <v>220</v>
      </c>
      <c r="L264" s="32" t="s">
        <v>1110</v>
      </c>
      <c r="M264" s="31">
        <f>220</f>
        <v>220</v>
      </c>
      <c r="N264" s="32" t="s">
        <v>1110</v>
      </c>
      <c r="O264" s="31">
        <f>195</f>
        <v>195</v>
      </c>
      <c r="P264" s="32" t="s">
        <v>674</v>
      </c>
      <c r="Q264" s="31">
        <f>207.3</f>
        <v>207.3</v>
      </c>
      <c r="R264" s="32" t="s">
        <v>777</v>
      </c>
      <c r="S264" s="33">
        <f>207.2</f>
        <v>207.2</v>
      </c>
      <c r="T264" s="30">
        <f>2452840</f>
        <v>2452840</v>
      </c>
      <c r="U264" s="30">
        <f>1720</f>
        <v>1720</v>
      </c>
      <c r="V264" s="30">
        <f>507789535</f>
        <v>507789535</v>
      </c>
      <c r="W264" s="30">
        <f>327582</f>
        <v>327582</v>
      </c>
      <c r="X264" s="34">
        <f>21</f>
        <v>21</v>
      </c>
    </row>
    <row r="265" spans="1:24">
      <c r="A265" s="25" t="s">
        <v>1201</v>
      </c>
      <c r="B265" s="25" t="s">
        <v>1071</v>
      </c>
      <c r="C265" s="25" t="s">
        <v>1072</v>
      </c>
      <c r="D265" s="25" t="s">
        <v>1073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199</f>
        <v>199</v>
      </c>
      <c r="L265" s="32" t="s">
        <v>1110</v>
      </c>
      <c r="M265" s="31">
        <f>209</f>
        <v>209</v>
      </c>
      <c r="N265" s="32" t="s">
        <v>1112</v>
      </c>
      <c r="O265" s="31">
        <f>199</f>
        <v>199</v>
      </c>
      <c r="P265" s="32" t="s">
        <v>1110</v>
      </c>
      <c r="Q265" s="31">
        <f>199.3</f>
        <v>199.3</v>
      </c>
      <c r="R265" s="32" t="s">
        <v>777</v>
      </c>
      <c r="S265" s="33">
        <f>199.86</f>
        <v>199.86</v>
      </c>
      <c r="T265" s="30">
        <f>1515130</f>
        <v>1515130</v>
      </c>
      <c r="U265" s="30">
        <f>1481860</f>
        <v>1481860</v>
      </c>
      <c r="V265" s="30">
        <f>302578669</f>
        <v>302578669</v>
      </c>
      <c r="W265" s="30">
        <f>295924898</f>
        <v>295924898</v>
      </c>
      <c r="X265" s="34">
        <f>20</f>
        <v>20</v>
      </c>
    </row>
    <row r="266" spans="1:24">
      <c r="A266" s="25" t="s">
        <v>1201</v>
      </c>
      <c r="B266" s="25" t="s">
        <v>1203</v>
      </c>
      <c r="C266" s="25" t="s">
        <v>1204</v>
      </c>
      <c r="D266" s="25" t="s">
        <v>1205</v>
      </c>
      <c r="E266" s="26" t="s">
        <v>672</v>
      </c>
      <c r="F266" s="27" t="s">
        <v>673</v>
      </c>
      <c r="G266" s="28" t="s">
        <v>1206</v>
      </c>
      <c r="H266" s="29"/>
      <c r="I266" s="29" t="s">
        <v>44</v>
      </c>
      <c r="J266" s="30">
        <v>1</v>
      </c>
      <c r="K266" s="31">
        <f>2030</f>
        <v>2030</v>
      </c>
      <c r="L266" s="32" t="s">
        <v>1118</v>
      </c>
      <c r="M266" s="31">
        <f>2063</f>
        <v>2063</v>
      </c>
      <c r="N266" s="32" t="s">
        <v>777</v>
      </c>
      <c r="O266" s="31">
        <f>2009</f>
        <v>2009</v>
      </c>
      <c r="P266" s="32" t="s">
        <v>1112</v>
      </c>
      <c r="Q266" s="31">
        <f>2062</f>
        <v>2062</v>
      </c>
      <c r="R266" s="32" t="s">
        <v>777</v>
      </c>
      <c r="S266" s="33">
        <f>2041</f>
        <v>2041</v>
      </c>
      <c r="T266" s="30">
        <f>506818</f>
        <v>506818</v>
      </c>
      <c r="U266" s="30">
        <f>9</f>
        <v>9</v>
      </c>
      <c r="V266" s="30">
        <f>1028813582</f>
        <v>1028813582</v>
      </c>
      <c r="W266" s="30">
        <f>18135</f>
        <v>18135</v>
      </c>
      <c r="X266" s="34">
        <f>9</f>
        <v>9</v>
      </c>
    </row>
    <row r="267" spans="1:24">
      <c r="A267" s="25" t="s">
        <v>1201</v>
      </c>
      <c r="B267" s="25" t="s">
        <v>1207</v>
      </c>
      <c r="C267" s="25" t="s">
        <v>1208</v>
      </c>
      <c r="D267" s="25" t="s">
        <v>1209</v>
      </c>
      <c r="E267" s="26" t="s">
        <v>672</v>
      </c>
      <c r="F267" s="27" t="s">
        <v>673</v>
      </c>
      <c r="G267" s="28" t="s">
        <v>1210</v>
      </c>
      <c r="H267" s="29"/>
      <c r="I267" s="29" t="s">
        <v>44</v>
      </c>
      <c r="J267" s="30">
        <v>1</v>
      </c>
      <c r="K267" s="31">
        <f>1015</f>
        <v>1015</v>
      </c>
      <c r="L267" s="32" t="s">
        <v>874</v>
      </c>
      <c r="M267" s="31">
        <f>1040</f>
        <v>1040</v>
      </c>
      <c r="N267" s="32" t="s">
        <v>777</v>
      </c>
      <c r="O267" s="31">
        <f>1007</f>
        <v>1007</v>
      </c>
      <c r="P267" s="32" t="s">
        <v>676</v>
      </c>
      <c r="Q267" s="31">
        <f>1040</f>
        <v>1040</v>
      </c>
      <c r="R267" s="32" t="s">
        <v>777</v>
      </c>
      <c r="S267" s="33">
        <f>1024</f>
        <v>1024</v>
      </c>
      <c r="T267" s="30">
        <f>54340</f>
        <v>54340</v>
      </c>
      <c r="U267" s="30">
        <f>20000</f>
        <v>20000</v>
      </c>
      <c r="V267" s="30">
        <f>55458765</f>
        <v>55458765</v>
      </c>
      <c r="W267" s="30">
        <f>20264128</f>
        <v>20264128</v>
      </c>
      <c r="X267" s="34">
        <f>7</f>
        <v>7</v>
      </c>
    </row>
    <row r="268" spans="1:24">
      <c r="A268" s="25" t="s">
        <v>1201</v>
      </c>
      <c r="B268" s="25" t="s">
        <v>1211</v>
      </c>
      <c r="C268" s="25" t="s">
        <v>1212</v>
      </c>
      <c r="D268" s="25" t="s">
        <v>1213</v>
      </c>
      <c r="E268" s="26" t="s">
        <v>672</v>
      </c>
      <c r="F268" s="27" t="s">
        <v>673</v>
      </c>
      <c r="G268" s="28" t="s">
        <v>1210</v>
      </c>
      <c r="H268" s="29"/>
      <c r="I268" s="29" t="s">
        <v>44</v>
      </c>
      <c r="J268" s="30">
        <v>1</v>
      </c>
      <c r="K268" s="31">
        <f>1012</f>
        <v>1012</v>
      </c>
      <c r="L268" s="32" t="s">
        <v>874</v>
      </c>
      <c r="M268" s="31">
        <f>1023</f>
        <v>1023</v>
      </c>
      <c r="N268" s="32" t="s">
        <v>777</v>
      </c>
      <c r="O268" s="31">
        <f>1003</f>
        <v>1003</v>
      </c>
      <c r="P268" s="32" t="s">
        <v>676</v>
      </c>
      <c r="Q268" s="31">
        <f>1021</f>
        <v>1021</v>
      </c>
      <c r="R268" s="32" t="s">
        <v>777</v>
      </c>
      <c r="S268" s="33">
        <f>1016.29</f>
        <v>1016.29</v>
      </c>
      <c r="T268" s="30">
        <f>648680</f>
        <v>648680</v>
      </c>
      <c r="U268" s="30">
        <f>325000</f>
        <v>325000</v>
      </c>
      <c r="V268" s="30">
        <f>655701664</f>
        <v>655701664</v>
      </c>
      <c r="W268" s="30">
        <f>328160577</f>
        <v>328160577</v>
      </c>
      <c r="X268" s="34">
        <f>7</f>
        <v>7</v>
      </c>
    </row>
    <row r="269" spans="1:24">
      <c r="A269" s="25" t="s">
        <v>1201</v>
      </c>
      <c r="B269" s="25" t="s">
        <v>1214</v>
      </c>
      <c r="C269" s="25" t="s">
        <v>1215</v>
      </c>
      <c r="D269" s="25" t="s">
        <v>1216</v>
      </c>
      <c r="E269" s="26" t="s">
        <v>672</v>
      </c>
      <c r="F269" s="27" t="s">
        <v>673</v>
      </c>
      <c r="G269" s="28" t="s">
        <v>1217</v>
      </c>
      <c r="H269" s="29"/>
      <c r="I269" s="29" t="s">
        <v>44</v>
      </c>
      <c r="J269" s="30">
        <v>10</v>
      </c>
      <c r="K269" s="31">
        <f>500.6</f>
        <v>500.6</v>
      </c>
      <c r="L269" s="32" t="s">
        <v>1114</v>
      </c>
      <c r="M269" s="31">
        <f>504.6</f>
        <v>504.6</v>
      </c>
      <c r="N269" s="32" t="s">
        <v>1114</v>
      </c>
      <c r="O269" s="31">
        <f>499.4</f>
        <v>499.4</v>
      </c>
      <c r="P269" s="32" t="s">
        <v>777</v>
      </c>
      <c r="Q269" s="31">
        <f>500</f>
        <v>500</v>
      </c>
      <c r="R269" s="32" t="s">
        <v>777</v>
      </c>
      <c r="S269" s="33">
        <f>500.37</f>
        <v>500.37</v>
      </c>
      <c r="T269" s="30">
        <f>123670</f>
        <v>123670</v>
      </c>
      <c r="U269" s="30" t="str">
        <f>"－"</f>
        <v>－</v>
      </c>
      <c r="V269" s="30">
        <f>61817541</f>
        <v>61817541</v>
      </c>
      <c r="W269" s="30" t="str">
        <f>"－"</f>
        <v>－</v>
      </c>
      <c r="X269" s="34">
        <f>3</f>
        <v>3</v>
      </c>
    </row>
    <row r="270" spans="1:24">
      <c r="A270" s="25" t="s">
        <v>1201</v>
      </c>
      <c r="B270" s="25" t="s">
        <v>1218</v>
      </c>
      <c r="C270" s="25" t="s">
        <v>1219</v>
      </c>
      <c r="D270" s="25" t="s">
        <v>1220</v>
      </c>
      <c r="E270" s="26" t="s">
        <v>672</v>
      </c>
      <c r="F270" s="27" t="s">
        <v>673</v>
      </c>
      <c r="G270" s="28" t="s">
        <v>1217</v>
      </c>
      <c r="H270" s="29"/>
      <c r="I270" s="29" t="s">
        <v>44</v>
      </c>
      <c r="J270" s="30">
        <v>10</v>
      </c>
      <c r="K270" s="31">
        <f>200.7</f>
        <v>200.7</v>
      </c>
      <c r="L270" s="32" t="s">
        <v>1114</v>
      </c>
      <c r="M270" s="31">
        <f>203.9</f>
        <v>203.9</v>
      </c>
      <c r="N270" s="32" t="s">
        <v>1114</v>
      </c>
      <c r="O270" s="31">
        <f>199.1</f>
        <v>199.1</v>
      </c>
      <c r="P270" s="32" t="s">
        <v>777</v>
      </c>
      <c r="Q270" s="31">
        <f>200.8</f>
        <v>200.8</v>
      </c>
      <c r="R270" s="32" t="s">
        <v>777</v>
      </c>
      <c r="S270" s="33">
        <f>202</f>
        <v>202</v>
      </c>
      <c r="T270" s="30">
        <f>825590</f>
        <v>825590</v>
      </c>
      <c r="U270" s="30" t="str">
        <f>"－"</f>
        <v>－</v>
      </c>
      <c r="V270" s="30">
        <f>165486225</f>
        <v>165486225</v>
      </c>
      <c r="W270" s="30" t="str">
        <f>"－"</f>
        <v>－</v>
      </c>
      <c r="X270" s="34">
        <f>3</f>
        <v>3</v>
      </c>
    </row>
    <row r="271" spans="1:24">
      <c r="A271" s="25" t="s">
        <v>1201</v>
      </c>
      <c r="B271" s="25" t="s">
        <v>1221</v>
      </c>
      <c r="C271" s="25" t="s">
        <v>1222</v>
      </c>
      <c r="D271" s="25" t="s">
        <v>1223</v>
      </c>
      <c r="E271" s="26" t="s">
        <v>672</v>
      </c>
      <c r="F271" s="27" t="s">
        <v>673</v>
      </c>
      <c r="G271" s="28" t="s">
        <v>1217</v>
      </c>
      <c r="H271" s="29"/>
      <c r="I271" s="29" t="s">
        <v>44</v>
      </c>
      <c r="J271" s="30">
        <v>10</v>
      </c>
      <c r="K271" s="31">
        <f>200.4</f>
        <v>200.4</v>
      </c>
      <c r="L271" s="32" t="s">
        <v>1114</v>
      </c>
      <c r="M271" s="31">
        <f>200.9</f>
        <v>200.9</v>
      </c>
      <c r="N271" s="32" t="s">
        <v>1114</v>
      </c>
      <c r="O271" s="31">
        <f>197.5</f>
        <v>197.5</v>
      </c>
      <c r="P271" s="32" t="s">
        <v>777</v>
      </c>
      <c r="Q271" s="31">
        <f>199.4</f>
        <v>199.4</v>
      </c>
      <c r="R271" s="32" t="s">
        <v>777</v>
      </c>
      <c r="S271" s="33">
        <f>199.7</f>
        <v>199.7</v>
      </c>
      <c r="T271" s="30">
        <f>554540</f>
        <v>554540</v>
      </c>
      <c r="U271" s="30" t="str">
        <f>"－"</f>
        <v>－</v>
      </c>
      <c r="V271" s="30">
        <f>110725541</f>
        <v>110725541</v>
      </c>
      <c r="W271" s="30" t="str">
        <f>"－"</f>
        <v>－</v>
      </c>
      <c r="X271" s="34">
        <f>3</f>
        <v>3</v>
      </c>
    </row>
    <row r="272" spans="1:24">
      <c r="A272" s="25" t="s">
        <v>1201</v>
      </c>
      <c r="B272" s="25" t="s">
        <v>539</v>
      </c>
      <c r="C272" s="25" t="s">
        <v>540</v>
      </c>
      <c r="D272" s="25" t="s">
        <v>541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906.8</f>
        <v>906.8</v>
      </c>
      <c r="L272" s="32" t="s">
        <v>1110</v>
      </c>
      <c r="M272" s="31">
        <f>924.9</f>
        <v>924.9</v>
      </c>
      <c r="N272" s="32" t="s">
        <v>674</v>
      </c>
      <c r="O272" s="31">
        <f>901.1</f>
        <v>901.1</v>
      </c>
      <c r="P272" s="32" t="s">
        <v>1110</v>
      </c>
      <c r="Q272" s="31">
        <f>913.2</f>
        <v>913.2</v>
      </c>
      <c r="R272" s="32" t="s">
        <v>777</v>
      </c>
      <c r="S272" s="33">
        <f>914.34</f>
        <v>914.34</v>
      </c>
      <c r="T272" s="30">
        <f>38077680</f>
        <v>38077680</v>
      </c>
      <c r="U272" s="30">
        <f>35970820</f>
        <v>35970820</v>
      </c>
      <c r="V272" s="30">
        <f>34813695519</f>
        <v>34813695519</v>
      </c>
      <c r="W272" s="30">
        <f>32888131860</f>
        <v>32888131860</v>
      </c>
      <c r="X272" s="34">
        <f>21</f>
        <v>21</v>
      </c>
    </row>
    <row r="273" spans="1:24">
      <c r="A273" s="25" t="s">
        <v>1201</v>
      </c>
      <c r="B273" s="25" t="s">
        <v>542</v>
      </c>
      <c r="C273" s="25" t="s">
        <v>543</v>
      </c>
      <c r="D273" s="25" t="s">
        <v>544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1096.5</f>
        <v>1096.5</v>
      </c>
      <c r="L273" s="32" t="s">
        <v>1110</v>
      </c>
      <c r="M273" s="31">
        <f>1102</f>
        <v>1102</v>
      </c>
      <c r="N273" s="32" t="s">
        <v>760</v>
      </c>
      <c r="O273" s="31">
        <f>1058</f>
        <v>1058</v>
      </c>
      <c r="P273" s="32" t="s">
        <v>674</v>
      </c>
      <c r="Q273" s="31">
        <f>1080</f>
        <v>1080</v>
      </c>
      <c r="R273" s="32" t="s">
        <v>777</v>
      </c>
      <c r="S273" s="33">
        <f>1084.93</f>
        <v>1084.93</v>
      </c>
      <c r="T273" s="30">
        <f>1688700</f>
        <v>1688700</v>
      </c>
      <c r="U273" s="30">
        <f>470320</f>
        <v>470320</v>
      </c>
      <c r="V273" s="30">
        <f>1833561756</f>
        <v>1833561756</v>
      </c>
      <c r="W273" s="30">
        <f>509570211</f>
        <v>509570211</v>
      </c>
      <c r="X273" s="34">
        <f>21</f>
        <v>21</v>
      </c>
    </row>
    <row r="274" spans="1:24">
      <c r="A274" s="25" t="s">
        <v>1201</v>
      </c>
      <c r="B274" s="25" t="s">
        <v>545</v>
      </c>
      <c r="C274" s="25" t="s">
        <v>546</v>
      </c>
      <c r="D274" s="25" t="s">
        <v>547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786</f>
        <v>786</v>
      </c>
      <c r="L274" s="32" t="s">
        <v>1110</v>
      </c>
      <c r="M274" s="31">
        <f>800</f>
        <v>800</v>
      </c>
      <c r="N274" s="32" t="s">
        <v>680</v>
      </c>
      <c r="O274" s="31">
        <f>786</f>
        <v>786</v>
      </c>
      <c r="P274" s="32" t="s">
        <v>1110</v>
      </c>
      <c r="Q274" s="31">
        <f>792</f>
        <v>792</v>
      </c>
      <c r="R274" s="32" t="s">
        <v>777</v>
      </c>
      <c r="S274" s="33">
        <f>793.31</f>
        <v>793.31</v>
      </c>
      <c r="T274" s="30">
        <f>30296570</f>
        <v>30296570</v>
      </c>
      <c r="U274" s="30">
        <f>29845260</f>
        <v>29845260</v>
      </c>
      <c r="V274" s="30">
        <f>23928948148</f>
        <v>23928948148</v>
      </c>
      <c r="W274" s="30">
        <f>23570543064</f>
        <v>23570543064</v>
      </c>
      <c r="X274" s="34">
        <f>21</f>
        <v>21</v>
      </c>
    </row>
    <row r="275" spans="1:24">
      <c r="A275" s="25" t="s">
        <v>1201</v>
      </c>
      <c r="B275" s="25" t="s">
        <v>548</v>
      </c>
      <c r="C275" s="25" t="s">
        <v>549</v>
      </c>
      <c r="D275" s="25" t="s">
        <v>550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2462.5</f>
        <v>2462.5</v>
      </c>
      <c r="L275" s="32" t="s">
        <v>1110</v>
      </c>
      <c r="M275" s="31">
        <f>2471</f>
        <v>2471</v>
      </c>
      <c r="N275" s="32" t="s">
        <v>1110</v>
      </c>
      <c r="O275" s="31">
        <f>2198</f>
        <v>2198</v>
      </c>
      <c r="P275" s="32" t="s">
        <v>674</v>
      </c>
      <c r="Q275" s="31">
        <f>2431.5</f>
        <v>2431.5</v>
      </c>
      <c r="R275" s="32" t="s">
        <v>777</v>
      </c>
      <c r="S275" s="33">
        <f>2387.05</f>
        <v>2387.0500000000002</v>
      </c>
      <c r="T275" s="30">
        <f>1194590</f>
        <v>1194590</v>
      </c>
      <c r="U275" s="30">
        <f>750390</f>
        <v>750390</v>
      </c>
      <c r="V275" s="30">
        <f>2847626660</f>
        <v>2847626660</v>
      </c>
      <c r="W275" s="30">
        <f>1803350475</f>
        <v>1803350475</v>
      </c>
      <c r="X275" s="34">
        <f>21</f>
        <v>21</v>
      </c>
    </row>
    <row r="276" spans="1:24">
      <c r="A276" s="25" t="s">
        <v>1201</v>
      </c>
      <c r="B276" s="25" t="s">
        <v>551</v>
      </c>
      <c r="C276" s="25" t="s">
        <v>552</v>
      </c>
      <c r="D276" s="25" t="s">
        <v>553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1616.5</f>
        <v>1616.5</v>
      </c>
      <c r="L276" s="32" t="s">
        <v>1110</v>
      </c>
      <c r="M276" s="31">
        <f>1634</f>
        <v>1634</v>
      </c>
      <c r="N276" s="32" t="s">
        <v>1118</v>
      </c>
      <c r="O276" s="31">
        <f>1514</f>
        <v>1514</v>
      </c>
      <c r="P276" s="32" t="s">
        <v>1113</v>
      </c>
      <c r="Q276" s="31">
        <f>1626.5</f>
        <v>1626.5</v>
      </c>
      <c r="R276" s="32" t="s">
        <v>777</v>
      </c>
      <c r="S276" s="33">
        <f>1590.79</f>
        <v>1590.79</v>
      </c>
      <c r="T276" s="30">
        <f>181510</f>
        <v>181510</v>
      </c>
      <c r="U276" s="30">
        <f>5080</f>
        <v>5080</v>
      </c>
      <c r="V276" s="30">
        <f>291726902</f>
        <v>291726902</v>
      </c>
      <c r="W276" s="30">
        <f>8203732</f>
        <v>8203732</v>
      </c>
      <c r="X276" s="34">
        <f>21</f>
        <v>21</v>
      </c>
    </row>
    <row r="277" spans="1:24">
      <c r="A277" s="25" t="s">
        <v>1201</v>
      </c>
      <c r="B277" s="25" t="s">
        <v>554</v>
      </c>
      <c r="C277" s="25" t="s">
        <v>555</v>
      </c>
      <c r="D277" s="25" t="s">
        <v>556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1408</f>
        <v>1408</v>
      </c>
      <c r="L277" s="32" t="s">
        <v>1110</v>
      </c>
      <c r="M277" s="31">
        <f>1444</f>
        <v>1444</v>
      </c>
      <c r="N277" s="32" t="s">
        <v>777</v>
      </c>
      <c r="O277" s="31">
        <f>1299</f>
        <v>1299</v>
      </c>
      <c r="P277" s="32" t="s">
        <v>674</v>
      </c>
      <c r="Q277" s="31">
        <f>1436.5</f>
        <v>1436.5</v>
      </c>
      <c r="R277" s="32" t="s">
        <v>777</v>
      </c>
      <c r="S277" s="33">
        <f>1400.1</f>
        <v>1400.1</v>
      </c>
      <c r="T277" s="30">
        <f>612120</f>
        <v>612120</v>
      </c>
      <c r="U277" s="30">
        <f>145440</f>
        <v>145440</v>
      </c>
      <c r="V277" s="30">
        <f>855861654</f>
        <v>855861654</v>
      </c>
      <c r="W277" s="30">
        <f>207579024</f>
        <v>207579024</v>
      </c>
      <c r="X277" s="34">
        <f>21</f>
        <v>21</v>
      </c>
    </row>
    <row r="278" spans="1:24">
      <c r="A278" s="25" t="s">
        <v>1201</v>
      </c>
      <c r="B278" s="25" t="s">
        <v>557</v>
      </c>
      <c r="C278" s="25" t="s">
        <v>1074</v>
      </c>
      <c r="D278" s="25" t="s">
        <v>1075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10</v>
      </c>
      <c r="K278" s="31">
        <f>505</f>
        <v>505</v>
      </c>
      <c r="L278" s="32" t="s">
        <v>1110</v>
      </c>
      <c r="M278" s="31">
        <f>533.3</f>
        <v>533.29999999999995</v>
      </c>
      <c r="N278" s="32" t="s">
        <v>1111</v>
      </c>
      <c r="O278" s="31">
        <f>371.2</f>
        <v>371.2</v>
      </c>
      <c r="P278" s="32" t="s">
        <v>674</v>
      </c>
      <c r="Q278" s="31">
        <f>520.6</f>
        <v>520.6</v>
      </c>
      <c r="R278" s="32" t="s">
        <v>777</v>
      </c>
      <c r="S278" s="33">
        <f>475.35</f>
        <v>475.35</v>
      </c>
      <c r="T278" s="30">
        <f>45917770</f>
        <v>45917770</v>
      </c>
      <c r="U278" s="30">
        <f>2448560</f>
        <v>2448560</v>
      </c>
      <c r="V278" s="30">
        <f>21531343725</f>
        <v>21531343725</v>
      </c>
      <c r="W278" s="30">
        <f>1153672874</f>
        <v>1153672874</v>
      </c>
      <c r="X278" s="34">
        <f>21</f>
        <v>21</v>
      </c>
    </row>
    <row r="279" spans="1:24">
      <c r="A279" s="25" t="s">
        <v>1201</v>
      </c>
      <c r="B279" s="25" t="s">
        <v>558</v>
      </c>
      <c r="C279" s="25" t="s">
        <v>559</v>
      </c>
      <c r="D279" s="25" t="s">
        <v>560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1049.5</f>
        <v>1049.5</v>
      </c>
      <c r="L279" s="32" t="s">
        <v>1110</v>
      </c>
      <c r="M279" s="31">
        <f>1079</f>
        <v>1079</v>
      </c>
      <c r="N279" s="32" t="s">
        <v>883</v>
      </c>
      <c r="O279" s="31">
        <f>986</f>
        <v>986</v>
      </c>
      <c r="P279" s="32" t="s">
        <v>674</v>
      </c>
      <c r="Q279" s="31">
        <f>1056.5</f>
        <v>1056.5</v>
      </c>
      <c r="R279" s="32" t="s">
        <v>777</v>
      </c>
      <c r="S279" s="33">
        <f>1040.83</f>
        <v>1040.83</v>
      </c>
      <c r="T279" s="30">
        <f>2122990</f>
        <v>2122990</v>
      </c>
      <c r="U279" s="30">
        <f>1258000</f>
        <v>1258000</v>
      </c>
      <c r="V279" s="30">
        <f>2155424391</f>
        <v>2155424391</v>
      </c>
      <c r="W279" s="30">
        <f>1274009685</f>
        <v>1274009685</v>
      </c>
      <c r="X279" s="34">
        <f>21</f>
        <v>21</v>
      </c>
    </row>
    <row r="280" spans="1:24">
      <c r="A280" s="25" t="s">
        <v>1201</v>
      </c>
      <c r="B280" s="25" t="s">
        <v>561</v>
      </c>
      <c r="C280" s="25" t="s">
        <v>562</v>
      </c>
      <c r="D280" s="25" t="s">
        <v>563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</v>
      </c>
      <c r="K280" s="31">
        <f>1649</f>
        <v>1649</v>
      </c>
      <c r="L280" s="32" t="s">
        <v>1110</v>
      </c>
      <c r="M280" s="31">
        <f>1650</f>
        <v>1650</v>
      </c>
      <c r="N280" s="32" t="s">
        <v>1110</v>
      </c>
      <c r="O280" s="31">
        <f>1320</f>
        <v>1320</v>
      </c>
      <c r="P280" s="32" t="s">
        <v>674</v>
      </c>
      <c r="Q280" s="31">
        <f>1569</f>
        <v>1569</v>
      </c>
      <c r="R280" s="32" t="s">
        <v>777</v>
      </c>
      <c r="S280" s="33">
        <f>1513.33</f>
        <v>1513.33</v>
      </c>
      <c r="T280" s="30">
        <f>66576</f>
        <v>66576</v>
      </c>
      <c r="U280" s="30" t="str">
        <f>"－"</f>
        <v>－</v>
      </c>
      <c r="V280" s="30">
        <f>99856029</f>
        <v>99856029</v>
      </c>
      <c r="W280" s="30" t="str">
        <f>"－"</f>
        <v>－</v>
      </c>
      <c r="X280" s="34">
        <f>21</f>
        <v>21</v>
      </c>
    </row>
    <row r="281" spans="1:24">
      <c r="A281" s="25" t="s">
        <v>1201</v>
      </c>
      <c r="B281" s="25" t="s">
        <v>564</v>
      </c>
      <c r="C281" s="25" t="s">
        <v>565</v>
      </c>
      <c r="D281" s="25" t="s">
        <v>566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1079.5</f>
        <v>1079.5</v>
      </c>
      <c r="L281" s="32" t="s">
        <v>1110</v>
      </c>
      <c r="M281" s="31">
        <f>1083</f>
        <v>1083</v>
      </c>
      <c r="N281" s="32" t="s">
        <v>883</v>
      </c>
      <c r="O281" s="31">
        <f>1006.5</f>
        <v>1006.5</v>
      </c>
      <c r="P281" s="32" t="s">
        <v>674</v>
      </c>
      <c r="Q281" s="31">
        <f>1054.5</f>
        <v>1054.5</v>
      </c>
      <c r="R281" s="32" t="s">
        <v>777</v>
      </c>
      <c r="S281" s="33">
        <f>1052.88</f>
        <v>1052.8800000000001</v>
      </c>
      <c r="T281" s="30">
        <f>388830</f>
        <v>388830</v>
      </c>
      <c r="U281" s="30">
        <f>82180</f>
        <v>82180</v>
      </c>
      <c r="V281" s="30">
        <f>407059870</f>
        <v>407059870</v>
      </c>
      <c r="W281" s="30">
        <f>85511660</f>
        <v>85511660</v>
      </c>
      <c r="X281" s="34">
        <f>21</f>
        <v>21</v>
      </c>
    </row>
    <row r="282" spans="1:24">
      <c r="A282" s="25" t="s">
        <v>1201</v>
      </c>
      <c r="B282" s="25" t="s">
        <v>567</v>
      </c>
      <c r="C282" s="25" t="s">
        <v>568</v>
      </c>
      <c r="D282" s="25" t="s">
        <v>569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10</v>
      </c>
      <c r="K282" s="31">
        <f>1441</f>
        <v>1441</v>
      </c>
      <c r="L282" s="32" t="s">
        <v>1110</v>
      </c>
      <c r="M282" s="31">
        <f>1452</f>
        <v>1452</v>
      </c>
      <c r="N282" s="32" t="s">
        <v>1110</v>
      </c>
      <c r="O282" s="31">
        <f>1244</f>
        <v>1244</v>
      </c>
      <c r="P282" s="32" t="s">
        <v>674</v>
      </c>
      <c r="Q282" s="31">
        <f>1390</f>
        <v>1390</v>
      </c>
      <c r="R282" s="32" t="s">
        <v>777</v>
      </c>
      <c r="S282" s="33">
        <f>1375.79</f>
        <v>1375.79</v>
      </c>
      <c r="T282" s="30">
        <f>152640</f>
        <v>152640</v>
      </c>
      <c r="U282" s="30">
        <f>67190</f>
        <v>67190</v>
      </c>
      <c r="V282" s="30">
        <f>208877342</f>
        <v>208877342</v>
      </c>
      <c r="W282" s="30">
        <f>93856667</f>
        <v>93856667</v>
      </c>
      <c r="X282" s="34">
        <f>21</f>
        <v>21</v>
      </c>
    </row>
    <row r="283" spans="1:24">
      <c r="A283" s="25" t="s">
        <v>1201</v>
      </c>
      <c r="B283" s="25" t="s">
        <v>570</v>
      </c>
      <c r="C283" s="25" t="s">
        <v>571</v>
      </c>
      <c r="D283" s="25" t="s">
        <v>572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1708.5</f>
        <v>1708.5</v>
      </c>
      <c r="L283" s="32" t="s">
        <v>1110</v>
      </c>
      <c r="M283" s="31">
        <f>1729.5</f>
        <v>1729.5</v>
      </c>
      <c r="N283" s="32" t="s">
        <v>676</v>
      </c>
      <c r="O283" s="31">
        <f>1530</f>
        <v>1530</v>
      </c>
      <c r="P283" s="32" t="s">
        <v>674</v>
      </c>
      <c r="Q283" s="31">
        <f>1724</f>
        <v>1724</v>
      </c>
      <c r="R283" s="32" t="s">
        <v>777</v>
      </c>
      <c r="S283" s="33">
        <f>1684.31</f>
        <v>1684.31</v>
      </c>
      <c r="T283" s="30">
        <f>3859560</f>
        <v>3859560</v>
      </c>
      <c r="U283" s="30">
        <f>1873060</f>
        <v>1873060</v>
      </c>
      <c r="V283" s="30">
        <f>6530042599</f>
        <v>6530042599</v>
      </c>
      <c r="W283" s="30">
        <f>3166048399</f>
        <v>3166048399</v>
      </c>
      <c r="X283" s="34">
        <f>21</f>
        <v>21</v>
      </c>
    </row>
    <row r="284" spans="1:24">
      <c r="A284" s="25" t="s">
        <v>1201</v>
      </c>
      <c r="B284" s="25" t="s">
        <v>573</v>
      </c>
      <c r="C284" s="25" t="s">
        <v>574</v>
      </c>
      <c r="D284" s="25" t="s">
        <v>575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</v>
      </c>
      <c r="K284" s="31">
        <f>5320</f>
        <v>5320</v>
      </c>
      <c r="L284" s="32" t="s">
        <v>1110</v>
      </c>
      <c r="M284" s="31">
        <f>5320</f>
        <v>5320</v>
      </c>
      <c r="N284" s="32" t="s">
        <v>1110</v>
      </c>
      <c r="O284" s="31">
        <f>4290</f>
        <v>4290</v>
      </c>
      <c r="P284" s="32" t="s">
        <v>674</v>
      </c>
      <c r="Q284" s="31">
        <f>5110</f>
        <v>5110</v>
      </c>
      <c r="R284" s="32" t="s">
        <v>777</v>
      </c>
      <c r="S284" s="33">
        <f>4947.62</f>
        <v>4947.62</v>
      </c>
      <c r="T284" s="30">
        <f>167001</f>
        <v>167001</v>
      </c>
      <c r="U284" s="30">
        <f>65000</f>
        <v>65000</v>
      </c>
      <c r="V284" s="30">
        <f>786990044</f>
        <v>786990044</v>
      </c>
      <c r="W284" s="30">
        <f>302725819</f>
        <v>302725819</v>
      </c>
      <c r="X284" s="34">
        <f>21</f>
        <v>21</v>
      </c>
    </row>
    <row r="285" spans="1:24">
      <c r="A285" s="25" t="s">
        <v>1201</v>
      </c>
      <c r="B285" s="25" t="s">
        <v>576</v>
      </c>
      <c r="C285" s="25" t="s">
        <v>577</v>
      </c>
      <c r="D285" s="25" t="s">
        <v>578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10</v>
      </c>
      <c r="K285" s="31">
        <f>2130.5</f>
        <v>2130.5</v>
      </c>
      <c r="L285" s="32" t="s">
        <v>1116</v>
      </c>
      <c r="M285" s="31">
        <f>2267.5</f>
        <v>2267.5</v>
      </c>
      <c r="N285" s="32" t="s">
        <v>1111</v>
      </c>
      <c r="O285" s="31">
        <f>2010</f>
        <v>2010</v>
      </c>
      <c r="P285" s="32" t="s">
        <v>876</v>
      </c>
      <c r="Q285" s="31">
        <f>2267.5</f>
        <v>2267.5</v>
      </c>
      <c r="R285" s="32" t="s">
        <v>1111</v>
      </c>
      <c r="S285" s="33">
        <f>2138.36</f>
        <v>2138.36</v>
      </c>
      <c r="T285" s="30">
        <f>2290</f>
        <v>2290</v>
      </c>
      <c r="U285" s="30" t="str">
        <f>"－"</f>
        <v>－</v>
      </c>
      <c r="V285" s="30">
        <f>4720325</f>
        <v>4720325</v>
      </c>
      <c r="W285" s="30" t="str">
        <f>"－"</f>
        <v>－</v>
      </c>
      <c r="X285" s="34">
        <f>7</f>
        <v>7</v>
      </c>
    </row>
    <row r="286" spans="1:24">
      <c r="A286" s="25" t="s">
        <v>1201</v>
      </c>
      <c r="B286" s="25" t="s">
        <v>579</v>
      </c>
      <c r="C286" s="25" t="s">
        <v>580</v>
      </c>
      <c r="D286" s="25" t="s">
        <v>581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10</v>
      </c>
      <c r="K286" s="31">
        <f>2834.5</f>
        <v>2834.5</v>
      </c>
      <c r="L286" s="32" t="s">
        <v>1110</v>
      </c>
      <c r="M286" s="31">
        <f>2836.5</f>
        <v>2836.5</v>
      </c>
      <c r="N286" s="32" t="s">
        <v>1110</v>
      </c>
      <c r="O286" s="31">
        <f>2362</f>
        <v>2362</v>
      </c>
      <c r="P286" s="32" t="s">
        <v>674</v>
      </c>
      <c r="Q286" s="31">
        <f>2760.5</f>
        <v>2760.5</v>
      </c>
      <c r="R286" s="32" t="s">
        <v>777</v>
      </c>
      <c r="S286" s="33">
        <f>2656.1</f>
        <v>2656.1</v>
      </c>
      <c r="T286" s="30">
        <f>1434770</f>
        <v>1434770</v>
      </c>
      <c r="U286" s="30">
        <f>1026930</f>
        <v>1026930</v>
      </c>
      <c r="V286" s="30">
        <f>3844619130</f>
        <v>3844619130</v>
      </c>
      <c r="W286" s="30">
        <f>2766424855</f>
        <v>2766424855</v>
      </c>
      <c r="X286" s="34">
        <f>21</f>
        <v>21</v>
      </c>
    </row>
    <row r="287" spans="1:24">
      <c r="A287" s="25" t="s">
        <v>1201</v>
      </c>
      <c r="B287" s="25" t="s">
        <v>582</v>
      </c>
      <c r="C287" s="25" t="s">
        <v>583</v>
      </c>
      <c r="D287" s="25" t="s">
        <v>584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</v>
      </c>
      <c r="K287" s="31">
        <f>39480</f>
        <v>39480</v>
      </c>
      <c r="L287" s="32" t="s">
        <v>1110</v>
      </c>
      <c r="M287" s="31">
        <f>39480</f>
        <v>39480</v>
      </c>
      <c r="N287" s="32" t="s">
        <v>1110</v>
      </c>
      <c r="O287" s="31">
        <f>33000</f>
        <v>33000</v>
      </c>
      <c r="P287" s="32" t="s">
        <v>674</v>
      </c>
      <c r="Q287" s="31">
        <f>38730</f>
        <v>38730</v>
      </c>
      <c r="R287" s="32" t="s">
        <v>777</v>
      </c>
      <c r="S287" s="33">
        <f>37305.71</f>
        <v>37305.71</v>
      </c>
      <c r="T287" s="30">
        <f>257419</f>
        <v>257419</v>
      </c>
      <c r="U287" s="30">
        <f>99488</f>
        <v>99488</v>
      </c>
      <c r="V287" s="30">
        <f>9433064386</f>
        <v>9433064386</v>
      </c>
      <c r="W287" s="30">
        <f>3675248326</f>
        <v>3675248326</v>
      </c>
      <c r="X287" s="34">
        <f>21</f>
        <v>21</v>
      </c>
    </row>
    <row r="288" spans="1:24">
      <c r="A288" s="25" t="s">
        <v>1201</v>
      </c>
      <c r="B288" s="25" t="s">
        <v>585</v>
      </c>
      <c r="C288" s="25" t="s">
        <v>586</v>
      </c>
      <c r="D288" s="25" t="s">
        <v>587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25565</f>
        <v>25565</v>
      </c>
      <c r="L288" s="32" t="s">
        <v>1110</v>
      </c>
      <c r="M288" s="31">
        <f>25565</f>
        <v>25565</v>
      </c>
      <c r="N288" s="32" t="s">
        <v>1110</v>
      </c>
      <c r="O288" s="31">
        <f>22225</f>
        <v>22225</v>
      </c>
      <c r="P288" s="32" t="s">
        <v>674</v>
      </c>
      <c r="Q288" s="31">
        <f>25160</f>
        <v>25160</v>
      </c>
      <c r="R288" s="32" t="s">
        <v>777</v>
      </c>
      <c r="S288" s="33">
        <f>24462.69</f>
        <v>24462.69</v>
      </c>
      <c r="T288" s="30">
        <f>234</f>
        <v>234</v>
      </c>
      <c r="U288" s="30" t="str">
        <f>"－"</f>
        <v>－</v>
      </c>
      <c r="V288" s="30">
        <f>5770250</f>
        <v>5770250</v>
      </c>
      <c r="W288" s="30" t="str">
        <f>"－"</f>
        <v>－</v>
      </c>
      <c r="X288" s="34">
        <f>13</f>
        <v>13</v>
      </c>
    </row>
    <row r="289" spans="1:24">
      <c r="A289" s="25" t="s">
        <v>1201</v>
      </c>
      <c r="B289" s="25" t="s">
        <v>588</v>
      </c>
      <c r="C289" s="25" t="s">
        <v>589</v>
      </c>
      <c r="D289" s="25" t="s">
        <v>590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1028</f>
        <v>1028</v>
      </c>
      <c r="L289" s="32" t="s">
        <v>1110</v>
      </c>
      <c r="M289" s="31">
        <f>1082</f>
        <v>1082</v>
      </c>
      <c r="N289" s="32" t="s">
        <v>1114</v>
      </c>
      <c r="O289" s="31">
        <f>994.2</f>
        <v>994.2</v>
      </c>
      <c r="P289" s="32" t="s">
        <v>674</v>
      </c>
      <c r="Q289" s="31">
        <f>1066</f>
        <v>1066</v>
      </c>
      <c r="R289" s="32" t="s">
        <v>777</v>
      </c>
      <c r="S289" s="33">
        <f>1045.43</f>
        <v>1045.43</v>
      </c>
      <c r="T289" s="30">
        <f>303490</f>
        <v>303490</v>
      </c>
      <c r="U289" s="30">
        <f>196000</f>
        <v>196000</v>
      </c>
      <c r="V289" s="30">
        <f>312487785</f>
        <v>312487785</v>
      </c>
      <c r="W289" s="30">
        <f>201390690</f>
        <v>201390690</v>
      </c>
      <c r="X289" s="34">
        <f>19</f>
        <v>19</v>
      </c>
    </row>
    <row r="290" spans="1:24">
      <c r="A290" s="25" t="s">
        <v>1201</v>
      </c>
      <c r="B290" s="25" t="s">
        <v>591</v>
      </c>
      <c r="C290" s="25" t="s">
        <v>946</v>
      </c>
      <c r="D290" s="25" t="s">
        <v>947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1046</f>
        <v>1046</v>
      </c>
      <c r="L290" s="32" t="s">
        <v>1110</v>
      </c>
      <c r="M290" s="31">
        <f>1088</f>
        <v>1088</v>
      </c>
      <c r="N290" s="32" t="s">
        <v>883</v>
      </c>
      <c r="O290" s="31">
        <f>985</f>
        <v>985</v>
      </c>
      <c r="P290" s="32" t="s">
        <v>674</v>
      </c>
      <c r="Q290" s="31">
        <f>1067</f>
        <v>1067</v>
      </c>
      <c r="R290" s="32" t="s">
        <v>777</v>
      </c>
      <c r="S290" s="33">
        <f>1045.52</f>
        <v>1045.52</v>
      </c>
      <c r="T290" s="30">
        <f>88703</f>
        <v>88703</v>
      </c>
      <c r="U290" s="30" t="str">
        <f>"－"</f>
        <v>－</v>
      </c>
      <c r="V290" s="30">
        <f>90795757</f>
        <v>90795757</v>
      </c>
      <c r="W290" s="30" t="str">
        <f>"－"</f>
        <v>－</v>
      </c>
      <c r="X290" s="34">
        <f>21</f>
        <v>21</v>
      </c>
    </row>
    <row r="291" spans="1:24">
      <c r="A291" s="25" t="s">
        <v>1201</v>
      </c>
      <c r="B291" s="25" t="s">
        <v>592</v>
      </c>
      <c r="C291" s="25" t="s">
        <v>593</v>
      </c>
      <c r="D291" s="25" t="s">
        <v>594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1724</f>
        <v>1724</v>
      </c>
      <c r="L291" s="32" t="s">
        <v>1110</v>
      </c>
      <c r="M291" s="31">
        <f>1730</f>
        <v>1730</v>
      </c>
      <c r="N291" s="32" t="s">
        <v>1110</v>
      </c>
      <c r="O291" s="31">
        <f>1350</f>
        <v>1350</v>
      </c>
      <c r="P291" s="32" t="s">
        <v>674</v>
      </c>
      <c r="Q291" s="31">
        <f>1694</f>
        <v>1694</v>
      </c>
      <c r="R291" s="32" t="s">
        <v>777</v>
      </c>
      <c r="S291" s="33">
        <f>1628.86</f>
        <v>1628.86</v>
      </c>
      <c r="T291" s="30">
        <f>794685</f>
        <v>794685</v>
      </c>
      <c r="U291" s="30">
        <f>404633</f>
        <v>404633</v>
      </c>
      <c r="V291" s="30">
        <f>1253243444</f>
        <v>1253243444</v>
      </c>
      <c r="W291" s="30">
        <f>624328210</f>
        <v>624328210</v>
      </c>
      <c r="X291" s="34">
        <f>21</f>
        <v>21</v>
      </c>
    </row>
    <row r="292" spans="1:24">
      <c r="A292" s="25" t="s">
        <v>1201</v>
      </c>
      <c r="B292" s="25" t="s">
        <v>595</v>
      </c>
      <c r="C292" s="25" t="s">
        <v>596</v>
      </c>
      <c r="D292" s="25" t="s">
        <v>597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13085</f>
        <v>13085</v>
      </c>
      <c r="L292" s="32" t="s">
        <v>1110</v>
      </c>
      <c r="M292" s="31">
        <f>13150</f>
        <v>13150</v>
      </c>
      <c r="N292" s="32" t="s">
        <v>1116</v>
      </c>
      <c r="O292" s="31">
        <f>11825</f>
        <v>11825</v>
      </c>
      <c r="P292" s="32" t="s">
        <v>1111</v>
      </c>
      <c r="Q292" s="31">
        <f>12600</f>
        <v>12600</v>
      </c>
      <c r="R292" s="32" t="s">
        <v>777</v>
      </c>
      <c r="S292" s="33">
        <f>12542.75</f>
        <v>12542.75</v>
      </c>
      <c r="T292" s="30">
        <f>334</f>
        <v>334</v>
      </c>
      <c r="U292" s="30" t="str">
        <f>"－"</f>
        <v>－</v>
      </c>
      <c r="V292" s="30">
        <f>4167390</f>
        <v>4167390</v>
      </c>
      <c r="W292" s="30" t="str">
        <f>"－"</f>
        <v>－</v>
      </c>
      <c r="X292" s="34">
        <f>20</f>
        <v>20</v>
      </c>
    </row>
    <row r="293" spans="1:24">
      <c r="A293" s="25" t="s">
        <v>1201</v>
      </c>
      <c r="B293" s="25" t="s">
        <v>598</v>
      </c>
      <c r="C293" s="25" t="s">
        <v>599</v>
      </c>
      <c r="D293" s="25" t="s">
        <v>600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1890</f>
        <v>1890</v>
      </c>
      <c r="L293" s="32" t="s">
        <v>1110</v>
      </c>
      <c r="M293" s="31">
        <f>1931</f>
        <v>1931</v>
      </c>
      <c r="N293" s="32" t="s">
        <v>883</v>
      </c>
      <c r="O293" s="31">
        <f>1751</f>
        <v>1751</v>
      </c>
      <c r="P293" s="32" t="s">
        <v>1124</v>
      </c>
      <c r="Q293" s="31">
        <f>1899</f>
        <v>1899</v>
      </c>
      <c r="R293" s="32" t="s">
        <v>777</v>
      </c>
      <c r="S293" s="33">
        <f>1859.48</f>
        <v>1859.48</v>
      </c>
      <c r="T293" s="30">
        <f>853565</f>
        <v>853565</v>
      </c>
      <c r="U293" s="30">
        <f>814600</f>
        <v>814600</v>
      </c>
      <c r="V293" s="30">
        <f>1572047051</f>
        <v>1572047051</v>
      </c>
      <c r="W293" s="30">
        <f>1500547220</f>
        <v>1500547220</v>
      </c>
      <c r="X293" s="34">
        <f>21</f>
        <v>21</v>
      </c>
    </row>
    <row r="294" spans="1:24">
      <c r="A294" s="25" t="s">
        <v>1201</v>
      </c>
      <c r="B294" s="25" t="s">
        <v>601</v>
      </c>
      <c r="C294" s="25" t="s">
        <v>602</v>
      </c>
      <c r="D294" s="25" t="s">
        <v>603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1300</f>
        <v>1300</v>
      </c>
      <c r="L294" s="32" t="s">
        <v>674</v>
      </c>
      <c r="M294" s="31">
        <f>1401</f>
        <v>1401</v>
      </c>
      <c r="N294" s="32" t="s">
        <v>680</v>
      </c>
      <c r="O294" s="31">
        <f>1240</f>
        <v>1240</v>
      </c>
      <c r="P294" s="32" t="s">
        <v>883</v>
      </c>
      <c r="Q294" s="31">
        <f>1257.5</f>
        <v>1257.5</v>
      </c>
      <c r="R294" s="32" t="s">
        <v>777</v>
      </c>
      <c r="S294" s="33">
        <f>1295.58</f>
        <v>1295.58</v>
      </c>
      <c r="T294" s="30">
        <f>3600</f>
        <v>3600</v>
      </c>
      <c r="U294" s="30" t="str">
        <f>"－"</f>
        <v>－</v>
      </c>
      <c r="V294" s="30">
        <f>4652710</f>
        <v>4652710</v>
      </c>
      <c r="W294" s="30" t="str">
        <f>"－"</f>
        <v>－</v>
      </c>
      <c r="X294" s="34">
        <f>13</f>
        <v>13</v>
      </c>
    </row>
    <row r="295" spans="1:24">
      <c r="A295" s="25" t="s">
        <v>1201</v>
      </c>
      <c r="B295" s="25" t="s">
        <v>604</v>
      </c>
      <c r="C295" s="25" t="s">
        <v>685</v>
      </c>
      <c r="D295" s="25" t="s">
        <v>686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804.4</f>
        <v>804.4</v>
      </c>
      <c r="L295" s="32" t="s">
        <v>1110</v>
      </c>
      <c r="M295" s="31">
        <f>828</f>
        <v>828</v>
      </c>
      <c r="N295" s="32" t="s">
        <v>883</v>
      </c>
      <c r="O295" s="31">
        <f>800.1</f>
        <v>800.1</v>
      </c>
      <c r="P295" s="32" t="s">
        <v>1124</v>
      </c>
      <c r="Q295" s="31">
        <f>813.6</f>
        <v>813.6</v>
      </c>
      <c r="R295" s="32" t="s">
        <v>777</v>
      </c>
      <c r="S295" s="33">
        <f>810.96</f>
        <v>810.96</v>
      </c>
      <c r="T295" s="30">
        <f>394710</f>
        <v>394710</v>
      </c>
      <c r="U295" s="30">
        <f>163610</f>
        <v>163610</v>
      </c>
      <c r="V295" s="30">
        <f>320412734</f>
        <v>320412734</v>
      </c>
      <c r="W295" s="30">
        <f>132982804</f>
        <v>132982804</v>
      </c>
      <c r="X295" s="34">
        <f>21</f>
        <v>21</v>
      </c>
    </row>
    <row r="296" spans="1:24">
      <c r="A296" s="25" t="s">
        <v>1201</v>
      </c>
      <c r="B296" s="25" t="s">
        <v>605</v>
      </c>
      <c r="C296" s="25" t="s">
        <v>606</v>
      </c>
      <c r="D296" s="25" t="s">
        <v>607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1779.5</f>
        <v>1779.5</v>
      </c>
      <c r="L296" s="32" t="s">
        <v>1110</v>
      </c>
      <c r="M296" s="31">
        <f>1850</f>
        <v>1850</v>
      </c>
      <c r="N296" s="32" t="s">
        <v>883</v>
      </c>
      <c r="O296" s="31">
        <f>1664</f>
        <v>1664</v>
      </c>
      <c r="P296" s="32" t="s">
        <v>674</v>
      </c>
      <c r="Q296" s="31">
        <f>1815</f>
        <v>1815</v>
      </c>
      <c r="R296" s="32" t="s">
        <v>777</v>
      </c>
      <c r="S296" s="33">
        <f>1777.81</f>
        <v>1777.81</v>
      </c>
      <c r="T296" s="30">
        <f>642390</f>
        <v>642390</v>
      </c>
      <c r="U296" s="30">
        <f>265050</f>
        <v>265050</v>
      </c>
      <c r="V296" s="30">
        <f>1115075758</f>
        <v>1115075758</v>
      </c>
      <c r="W296" s="30">
        <f>457096128</f>
        <v>457096128</v>
      </c>
      <c r="X296" s="34">
        <f>21</f>
        <v>21</v>
      </c>
    </row>
    <row r="297" spans="1:24">
      <c r="A297" s="25" t="s">
        <v>1201</v>
      </c>
      <c r="B297" s="25" t="s">
        <v>608</v>
      </c>
      <c r="C297" s="25" t="s">
        <v>609</v>
      </c>
      <c r="D297" s="25" t="s">
        <v>610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10</v>
      </c>
      <c r="K297" s="31">
        <f>1769.5</f>
        <v>1769.5</v>
      </c>
      <c r="L297" s="32" t="s">
        <v>1110</v>
      </c>
      <c r="M297" s="31">
        <f>1845</f>
        <v>1845</v>
      </c>
      <c r="N297" s="32" t="s">
        <v>883</v>
      </c>
      <c r="O297" s="31">
        <f>1662.5</f>
        <v>1662.5</v>
      </c>
      <c r="P297" s="32" t="s">
        <v>674</v>
      </c>
      <c r="Q297" s="31">
        <f>1816</f>
        <v>1816</v>
      </c>
      <c r="R297" s="32" t="s">
        <v>777</v>
      </c>
      <c r="S297" s="33">
        <f>1779.05</f>
        <v>1779.05</v>
      </c>
      <c r="T297" s="30">
        <f>2758970</f>
        <v>2758970</v>
      </c>
      <c r="U297" s="30">
        <f>1465580</f>
        <v>1465580</v>
      </c>
      <c r="V297" s="30">
        <f>4854755573</f>
        <v>4854755573</v>
      </c>
      <c r="W297" s="30">
        <f>2591173303</f>
        <v>2591173303</v>
      </c>
      <c r="X297" s="34">
        <f>21</f>
        <v>21</v>
      </c>
    </row>
    <row r="298" spans="1:24">
      <c r="A298" s="25" t="s">
        <v>1201</v>
      </c>
      <c r="B298" s="25" t="s">
        <v>611</v>
      </c>
      <c r="C298" s="25" t="s">
        <v>612</v>
      </c>
      <c r="D298" s="25" t="s">
        <v>613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10</v>
      </c>
      <c r="K298" s="31">
        <f>2767</f>
        <v>2767</v>
      </c>
      <c r="L298" s="32" t="s">
        <v>1110</v>
      </c>
      <c r="M298" s="31">
        <f>2786.5</f>
        <v>2786.5</v>
      </c>
      <c r="N298" s="32" t="s">
        <v>1110</v>
      </c>
      <c r="O298" s="31">
        <f>2309.5</f>
        <v>2309.5</v>
      </c>
      <c r="P298" s="32" t="s">
        <v>1124</v>
      </c>
      <c r="Q298" s="31">
        <f>2739</f>
        <v>2739</v>
      </c>
      <c r="R298" s="32" t="s">
        <v>777</v>
      </c>
      <c r="S298" s="33">
        <f>2631.07</f>
        <v>2631.07</v>
      </c>
      <c r="T298" s="30">
        <f>1400060</f>
        <v>1400060</v>
      </c>
      <c r="U298" s="30">
        <f>237940</f>
        <v>237940</v>
      </c>
      <c r="V298" s="30">
        <f>3623922379</f>
        <v>3623922379</v>
      </c>
      <c r="W298" s="30">
        <f>627540709</f>
        <v>627540709</v>
      </c>
      <c r="X298" s="34">
        <f>21</f>
        <v>21</v>
      </c>
    </row>
    <row r="299" spans="1:24">
      <c r="A299" s="25" t="s">
        <v>1201</v>
      </c>
      <c r="B299" s="25" t="s">
        <v>614</v>
      </c>
      <c r="C299" s="25" t="s">
        <v>615</v>
      </c>
      <c r="D299" s="25" t="s">
        <v>616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23900</f>
        <v>23900</v>
      </c>
      <c r="L299" s="32" t="s">
        <v>1110</v>
      </c>
      <c r="M299" s="31">
        <f>23955</f>
        <v>23955</v>
      </c>
      <c r="N299" s="32" t="s">
        <v>1110</v>
      </c>
      <c r="O299" s="31">
        <f>21185</f>
        <v>21185</v>
      </c>
      <c r="P299" s="32" t="s">
        <v>674</v>
      </c>
      <c r="Q299" s="31">
        <f>23400</f>
        <v>23400</v>
      </c>
      <c r="R299" s="32" t="s">
        <v>777</v>
      </c>
      <c r="S299" s="33">
        <f>23026.67</f>
        <v>23026.67</v>
      </c>
      <c r="T299" s="30">
        <f>1261007</f>
        <v>1261007</v>
      </c>
      <c r="U299" s="30">
        <f>45374</f>
        <v>45374</v>
      </c>
      <c r="V299" s="30">
        <f>28653311559</f>
        <v>28653311559</v>
      </c>
      <c r="W299" s="30">
        <f>1041620154</f>
        <v>1041620154</v>
      </c>
      <c r="X299" s="34">
        <f>21</f>
        <v>21</v>
      </c>
    </row>
    <row r="300" spans="1:24">
      <c r="A300" s="25" t="s">
        <v>1201</v>
      </c>
      <c r="B300" s="25" t="s">
        <v>617</v>
      </c>
      <c r="C300" s="25" t="s">
        <v>618</v>
      </c>
      <c r="D300" s="25" t="s">
        <v>619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20185</f>
        <v>20185</v>
      </c>
      <c r="L300" s="32" t="s">
        <v>1110</v>
      </c>
      <c r="M300" s="31">
        <f>20200</f>
        <v>20200</v>
      </c>
      <c r="N300" s="32" t="s">
        <v>1110</v>
      </c>
      <c r="O300" s="31">
        <f>17350</f>
        <v>17350</v>
      </c>
      <c r="P300" s="32" t="s">
        <v>674</v>
      </c>
      <c r="Q300" s="31">
        <f>19800</f>
        <v>19800</v>
      </c>
      <c r="R300" s="32" t="s">
        <v>777</v>
      </c>
      <c r="S300" s="33">
        <f>19420.71</f>
        <v>19420.71</v>
      </c>
      <c r="T300" s="30">
        <f>503059</f>
        <v>503059</v>
      </c>
      <c r="U300" s="30">
        <f>106</f>
        <v>106</v>
      </c>
      <c r="V300" s="30">
        <f>9563103220</f>
        <v>9563103220</v>
      </c>
      <c r="W300" s="30">
        <f>1992375</f>
        <v>1992375</v>
      </c>
      <c r="X300" s="34">
        <f>21</f>
        <v>21</v>
      </c>
    </row>
    <row r="301" spans="1:24">
      <c r="A301" s="25" t="s">
        <v>1201</v>
      </c>
      <c r="B301" s="25" t="s">
        <v>620</v>
      </c>
      <c r="C301" s="25" t="s">
        <v>621</v>
      </c>
      <c r="D301" s="25" t="s">
        <v>622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</v>
      </c>
      <c r="K301" s="31">
        <f>38580</f>
        <v>38580</v>
      </c>
      <c r="L301" s="32" t="s">
        <v>1110</v>
      </c>
      <c r="M301" s="31">
        <f>38580</f>
        <v>38580</v>
      </c>
      <c r="N301" s="32" t="s">
        <v>1110</v>
      </c>
      <c r="O301" s="31">
        <f>30000</f>
        <v>30000</v>
      </c>
      <c r="P301" s="32" t="s">
        <v>674</v>
      </c>
      <c r="Q301" s="31">
        <f>35740</f>
        <v>35740</v>
      </c>
      <c r="R301" s="32" t="s">
        <v>777</v>
      </c>
      <c r="S301" s="33">
        <f>34522</f>
        <v>34522</v>
      </c>
      <c r="T301" s="30">
        <f>29</f>
        <v>29</v>
      </c>
      <c r="U301" s="30" t="str">
        <f>"－"</f>
        <v>－</v>
      </c>
      <c r="V301" s="30">
        <f>998040</f>
        <v>998040</v>
      </c>
      <c r="W301" s="30" t="str">
        <f>"－"</f>
        <v>－</v>
      </c>
      <c r="X301" s="34">
        <f>10</f>
        <v>10</v>
      </c>
    </row>
    <row r="302" spans="1:24">
      <c r="A302" s="25" t="s">
        <v>1201</v>
      </c>
      <c r="B302" s="25" t="s">
        <v>623</v>
      </c>
      <c r="C302" s="25" t="s">
        <v>624</v>
      </c>
      <c r="D302" s="25" t="s">
        <v>625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</v>
      </c>
      <c r="K302" s="31">
        <f>2345</f>
        <v>2345</v>
      </c>
      <c r="L302" s="32" t="s">
        <v>1110</v>
      </c>
      <c r="M302" s="31">
        <f>2440</f>
        <v>2440</v>
      </c>
      <c r="N302" s="32" t="s">
        <v>674</v>
      </c>
      <c r="O302" s="31">
        <f>2336</f>
        <v>2336</v>
      </c>
      <c r="P302" s="32" t="s">
        <v>1110</v>
      </c>
      <c r="Q302" s="31">
        <f>2374</f>
        <v>2374</v>
      </c>
      <c r="R302" s="32" t="s">
        <v>777</v>
      </c>
      <c r="S302" s="33">
        <f>2371.9</f>
        <v>2371.9</v>
      </c>
      <c r="T302" s="30">
        <f>1531546</f>
        <v>1531546</v>
      </c>
      <c r="U302" s="30">
        <f>1021158</f>
        <v>1021158</v>
      </c>
      <c r="V302" s="30">
        <f>3624268291</f>
        <v>3624268291</v>
      </c>
      <c r="W302" s="30">
        <f>2413951043</f>
        <v>2413951043</v>
      </c>
      <c r="X302" s="34">
        <f>21</f>
        <v>21</v>
      </c>
    </row>
    <row r="303" spans="1:24">
      <c r="A303" s="25" t="s">
        <v>1201</v>
      </c>
      <c r="B303" s="25" t="s">
        <v>626</v>
      </c>
      <c r="C303" s="25" t="s">
        <v>627</v>
      </c>
      <c r="D303" s="25" t="s">
        <v>628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10</v>
      </c>
      <c r="K303" s="31">
        <f>3095</f>
        <v>3095</v>
      </c>
      <c r="L303" s="32" t="s">
        <v>1110</v>
      </c>
      <c r="M303" s="31">
        <f>3131</f>
        <v>3131</v>
      </c>
      <c r="N303" s="32" t="s">
        <v>777</v>
      </c>
      <c r="O303" s="31">
        <f>2924.5</f>
        <v>2924.5</v>
      </c>
      <c r="P303" s="32" t="s">
        <v>1113</v>
      </c>
      <c r="Q303" s="31">
        <f>3131</f>
        <v>3131</v>
      </c>
      <c r="R303" s="32" t="s">
        <v>777</v>
      </c>
      <c r="S303" s="33">
        <f>3043.05</f>
        <v>3043.05</v>
      </c>
      <c r="T303" s="30">
        <f>316930</f>
        <v>316930</v>
      </c>
      <c r="U303" s="30">
        <f>32500</f>
        <v>32500</v>
      </c>
      <c r="V303" s="30">
        <f>968036115</f>
        <v>968036115</v>
      </c>
      <c r="W303" s="30">
        <f>97002750</f>
        <v>97002750</v>
      </c>
      <c r="X303" s="34">
        <f>21</f>
        <v>21</v>
      </c>
    </row>
    <row r="304" spans="1:24">
      <c r="A304" s="25" t="s">
        <v>1201</v>
      </c>
      <c r="B304" s="25" t="s">
        <v>629</v>
      </c>
      <c r="C304" s="25" t="s">
        <v>630</v>
      </c>
      <c r="D304" s="25" t="s">
        <v>631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10</v>
      </c>
      <c r="K304" s="31">
        <f>320.2</f>
        <v>320.2</v>
      </c>
      <c r="L304" s="32" t="s">
        <v>1110</v>
      </c>
      <c r="M304" s="31">
        <f>322.1</f>
        <v>322.10000000000002</v>
      </c>
      <c r="N304" s="32" t="s">
        <v>676</v>
      </c>
      <c r="O304" s="31">
        <f>296.9</f>
        <v>296.89999999999998</v>
      </c>
      <c r="P304" s="32" t="s">
        <v>1113</v>
      </c>
      <c r="Q304" s="31">
        <f>320.2</f>
        <v>320.2</v>
      </c>
      <c r="R304" s="32" t="s">
        <v>777</v>
      </c>
      <c r="S304" s="33">
        <f>314.15</f>
        <v>314.14999999999998</v>
      </c>
      <c r="T304" s="30">
        <f>52812260</f>
        <v>52812260</v>
      </c>
      <c r="U304" s="30">
        <f>22800400</f>
        <v>22800400</v>
      </c>
      <c r="V304" s="30">
        <f>16590030272</f>
        <v>16590030272</v>
      </c>
      <c r="W304" s="30">
        <f>7189131697</f>
        <v>7189131697</v>
      </c>
      <c r="X304" s="34">
        <f>21</f>
        <v>21</v>
      </c>
    </row>
    <row r="305" spans="1:24">
      <c r="A305" s="25" t="s">
        <v>1201</v>
      </c>
      <c r="B305" s="25" t="s">
        <v>632</v>
      </c>
      <c r="C305" s="25" t="s">
        <v>633</v>
      </c>
      <c r="D305" s="25" t="s">
        <v>634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2874</f>
        <v>2874</v>
      </c>
      <c r="L305" s="32" t="s">
        <v>1110</v>
      </c>
      <c r="M305" s="31">
        <f>2874</f>
        <v>2874</v>
      </c>
      <c r="N305" s="32" t="s">
        <v>1110</v>
      </c>
      <c r="O305" s="31">
        <f>2366</f>
        <v>2366</v>
      </c>
      <c r="P305" s="32" t="s">
        <v>674</v>
      </c>
      <c r="Q305" s="31">
        <f>2827</f>
        <v>2827</v>
      </c>
      <c r="R305" s="32" t="s">
        <v>777</v>
      </c>
      <c r="S305" s="33">
        <f>2724.71</f>
        <v>2724.71</v>
      </c>
      <c r="T305" s="30">
        <f>1242290</f>
        <v>1242290</v>
      </c>
      <c r="U305" s="30">
        <f>206437</f>
        <v>206437</v>
      </c>
      <c r="V305" s="30">
        <f>3305360519</f>
        <v>3305360519</v>
      </c>
      <c r="W305" s="30">
        <f>550102290</f>
        <v>550102290</v>
      </c>
      <c r="X305" s="34">
        <f>21</f>
        <v>21</v>
      </c>
    </row>
    <row r="306" spans="1:24">
      <c r="A306" s="25" t="s">
        <v>1201</v>
      </c>
      <c r="B306" s="25" t="s">
        <v>635</v>
      </c>
      <c r="C306" s="25" t="s">
        <v>636</v>
      </c>
      <c r="D306" s="25" t="s">
        <v>637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865</f>
        <v>865</v>
      </c>
      <c r="L306" s="32" t="s">
        <v>1110</v>
      </c>
      <c r="M306" s="31">
        <f>901</f>
        <v>901</v>
      </c>
      <c r="N306" s="32" t="s">
        <v>883</v>
      </c>
      <c r="O306" s="31">
        <f>808</f>
        <v>808</v>
      </c>
      <c r="P306" s="32" t="s">
        <v>1124</v>
      </c>
      <c r="Q306" s="31">
        <f>882</f>
        <v>882</v>
      </c>
      <c r="R306" s="32" t="s">
        <v>777</v>
      </c>
      <c r="S306" s="33">
        <f>873.57</f>
        <v>873.57</v>
      </c>
      <c r="T306" s="30">
        <f>700557</f>
        <v>700557</v>
      </c>
      <c r="U306" s="30">
        <f>141100</f>
        <v>141100</v>
      </c>
      <c r="V306" s="30">
        <f>603591900</f>
        <v>603591900</v>
      </c>
      <c r="W306" s="30">
        <f>121227580</f>
        <v>121227580</v>
      </c>
      <c r="X306" s="34">
        <f>21</f>
        <v>21</v>
      </c>
    </row>
    <row r="307" spans="1:24">
      <c r="A307" s="25" t="s">
        <v>1201</v>
      </c>
      <c r="B307" s="25" t="s">
        <v>638</v>
      </c>
      <c r="C307" s="25" t="s">
        <v>639</v>
      </c>
      <c r="D307" s="25" t="s">
        <v>640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10</v>
      </c>
      <c r="K307" s="31">
        <f>980.9</f>
        <v>980.9</v>
      </c>
      <c r="L307" s="32" t="s">
        <v>1110</v>
      </c>
      <c r="M307" s="31">
        <f>1017</f>
        <v>1017</v>
      </c>
      <c r="N307" s="32" t="s">
        <v>1114</v>
      </c>
      <c r="O307" s="31">
        <f>900</f>
        <v>900</v>
      </c>
      <c r="P307" s="32" t="s">
        <v>674</v>
      </c>
      <c r="Q307" s="31">
        <f>995.9</f>
        <v>995.9</v>
      </c>
      <c r="R307" s="32" t="s">
        <v>777</v>
      </c>
      <c r="S307" s="33">
        <f>978.17</f>
        <v>978.17</v>
      </c>
      <c r="T307" s="30">
        <f>3247180</f>
        <v>3247180</v>
      </c>
      <c r="U307" s="30">
        <f>2013500</f>
        <v>2013500</v>
      </c>
      <c r="V307" s="30">
        <f>3175990048</f>
        <v>3175990048</v>
      </c>
      <c r="W307" s="30">
        <f>1978366195</f>
        <v>1978366195</v>
      </c>
      <c r="X307" s="34">
        <f>21</f>
        <v>21</v>
      </c>
    </row>
    <row r="308" spans="1:24">
      <c r="A308" s="25" t="s">
        <v>1201</v>
      </c>
      <c r="B308" s="25" t="s">
        <v>641</v>
      </c>
      <c r="C308" s="25" t="s">
        <v>642</v>
      </c>
      <c r="D308" s="25" t="s">
        <v>643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10</v>
      </c>
      <c r="K308" s="31">
        <f>360.7</f>
        <v>360.7</v>
      </c>
      <c r="L308" s="32" t="s">
        <v>1110</v>
      </c>
      <c r="M308" s="31">
        <f>361</f>
        <v>361</v>
      </c>
      <c r="N308" s="32" t="s">
        <v>1110</v>
      </c>
      <c r="O308" s="31">
        <f>250.5</f>
        <v>250.5</v>
      </c>
      <c r="P308" s="32" t="s">
        <v>674</v>
      </c>
      <c r="Q308" s="31">
        <f>357.2</f>
        <v>357.2</v>
      </c>
      <c r="R308" s="32" t="s">
        <v>777</v>
      </c>
      <c r="S308" s="33">
        <f>335.03</f>
        <v>335.03</v>
      </c>
      <c r="T308" s="30">
        <f>5100</f>
        <v>5100</v>
      </c>
      <c r="U308" s="30" t="str">
        <f>"－"</f>
        <v>－</v>
      </c>
      <c r="V308" s="30">
        <f>1714903</f>
        <v>1714903</v>
      </c>
      <c r="W308" s="30" t="str">
        <f>"－"</f>
        <v>－</v>
      </c>
      <c r="X308" s="34">
        <f>19</f>
        <v>19</v>
      </c>
    </row>
    <row r="309" spans="1:24">
      <c r="A309" s="25" t="s">
        <v>1201</v>
      </c>
      <c r="B309" s="25" t="s">
        <v>644</v>
      </c>
      <c r="C309" s="25" t="s">
        <v>645</v>
      </c>
      <c r="D309" s="25" t="s">
        <v>646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10</v>
      </c>
      <c r="K309" s="31">
        <f>5024</f>
        <v>5024</v>
      </c>
      <c r="L309" s="32" t="s">
        <v>1110</v>
      </c>
      <c r="M309" s="31">
        <f>5034</f>
        <v>5034</v>
      </c>
      <c r="N309" s="32" t="s">
        <v>1110</v>
      </c>
      <c r="O309" s="31">
        <f>4118</f>
        <v>4118</v>
      </c>
      <c r="P309" s="32" t="s">
        <v>674</v>
      </c>
      <c r="Q309" s="31">
        <f>4832</f>
        <v>4832</v>
      </c>
      <c r="R309" s="32" t="s">
        <v>777</v>
      </c>
      <c r="S309" s="33">
        <f>4788.1</f>
        <v>4788.1000000000004</v>
      </c>
      <c r="T309" s="30">
        <f>2602700</f>
        <v>2602700</v>
      </c>
      <c r="U309" s="30">
        <f>400270</f>
        <v>400270</v>
      </c>
      <c r="V309" s="30">
        <f>12268969790</f>
        <v>12268969790</v>
      </c>
      <c r="W309" s="30">
        <f>1976446220</f>
        <v>1976446220</v>
      </c>
      <c r="X309" s="34">
        <f>21</f>
        <v>21</v>
      </c>
    </row>
    <row r="310" spans="1:24">
      <c r="A310" s="25" t="s">
        <v>1201</v>
      </c>
      <c r="B310" s="25" t="s">
        <v>647</v>
      </c>
      <c r="C310" s="25" t="s">
        <v>648</v>
      </c>
      <c r="D310" s="25" t="s">
        <v>649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10</v>
      </c>
      <c r="K310" s="31">
        <f>3083</f>
        <v>3083</v>
      </c>
      <c r="L310" s="32" t="s">
        <v>1110</v>
      </c>
      <c r="M310" s="31">
        <f>3126</f>
        <v>3126</v>
      </c>
      <c r="N310" s="32" t="s">
        <v>874</v>
      </c>
      <c r="O310" s="31">
        <f>2753</f>
        <v>2753</v>
      </c>
      <c r="P310" s="32" t="s">
        <v>674</v>
      </c>
      <c r="Q310" s="31">
        <f>3054</f>
        <v>3054</v>
      </c>
      <c r="R310" s="32" t="s">
        <v>777</v>
      </c>
      <c r="S310" s="33">
        <f>3008.38</f>
        <v>3008.38</v>
      </c>
      <c r="T310" s="30">
        <f>7201540</f>
        <v>7201540</v>
      </c>
      <c r="U310" s="30">
        <f>4933680</f>
        <v>4933680</v>
      </c>
      <c r="V310" s="30">
        <f>21698249335</f>
        <v>21698249335</v>
      </c>
      <c r="W310" s="30">
        <f>14952053270</f>
        <v>14952053270</v>
      </c>
      <c r="X310" s="34">
        <f>21</f>
        <v>21</v>
      </c>
    </row>
    <row r="311" spans="1:24">
      <c r="A311" s="25" t="s">
        <v>1201</v>
      </c>
      <c r="B311" s="25" t="s">
        <v>650</v>
      </c>
      <c r="C311" s="25" t="s">
        <v>651</v>
      </c>
      <c r="D311" s="25" t="s">
        <v>652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340.7</f>
        <v>340.7</v>
      </c>
      <c r="L311" s="32" t="s">
        <v>1110</v>
      </c>
      <c r="M311" s="31">
        <f>341.7</f>
        <v>341.7</v>
      </c>
      <c r="N311" s="32" t="s">
        <v>1116</v>
      </c>
      <c r="O311" s="31">
        <f>326.3</f>
        <v>326.3</v>
      </c>
      <c r="P311" s="32" t="s">
        <v>674</v>
      </c>
      <c r="Q311" s="31">
        <f>332.5</f>
        <v>332.5</v>
      </c>
      <c r="R311" s="32" t="s">
        <v>777</v>
      </c>
      <c r="S311" s="33">
        <f>334.76</f>
        <v>334.76</v>
      </c>
      <c r="T311" s="30">
        <f>7236340</f>
        <v>7236340</v>
      </c>
      <c r="U311" s="30">
        <f>2570210</f>
        <v>2570210</v>
      </c>
      <c r="V311" s="30">
        <f>2436917786</f>
        <v>2436917786</v>
      </c>
      <c r="W311" s="30">
        <f>868840693</f>
        <v>868840693</v>
      </c>
      <c r="X311" s="34">
        <f>21</f>
        <v>21</v>
      </c>
    </row>
    <row r="312" spans="1:24">
      <c r="A312" s="25" t="s">
        <v>1201</v>
      </c>
      <c r="B312" s="25" t="s">
        <v>653</v>
      </c>
      <c r="C312" s="25" t="s">
        <v>654</v>
      </c>
      <c r="D312" s="25" t="s">
        <v>655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1252</f>
        <v>1252</v>
      </c>
      <c r="L312" s="32" t="s">
        <v>1110</v>
      </c>
      <c r="M312" s="31">
        <f>1310</f>
        <v>1310</v>
      </c>
      <c r="N312" s="32" t="s">
        <v>674</v>
      </c>
      <c r="O312" s="31">
        <f>1251</f>
        <v>1251</v>
      </c>
      <c r="P312" s="32" t="s">
        <v>1110</v>
      </c>
      <c r="Q312" s="31">
        <f>1285</f>
        <v>1285</v>
      </c>
      <c r="R312" s="32" t="s">
        <v>777</v>
      </c>
      <c r="S312" s="33">
        <f>1286.05</f>
        <v>1286.05</v>
      </c>
      <c r="T312" s="30">
        <f>38503607</f>
        <v>38503607</v>
      </c>
      <c r="U312" s="30">
        <f>264457</f>
        <v>264457</v>
      </c>
      <c r="V312" s="30">
        <f>49593409884</f>
        <v>49593409884</v>
      </c>
      <c r="W312" s="30">
        <f>336504124</f>
        <v>336504124</v>
      </c>
      <c r="X312" s="34">
        <f>21</f>
        <v>21</v>
      </c>
    </row>
    <row r="313" spans="1:24">
      <c r="A313" s="25" t="s">
        <v>1201</v>
      </c>
      <c r="B313" s="25" t="s">
        <v>656</v>
      </c>
      <c r="C313" s="25" t="s">
        <v>657</v>
      </c>
      <c r="D313" s="25" t="s">
        <v>658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1759</f>
        <v>1759</v>
      </c>
      <c r="L313" s="32" t="s">
        <v>1110</v>
      </c>
      <c r="M313" s="31">
        <f>1809</f>
        <v>1809</v>
      </c>
      <c r="N313" s="32" t="s">
        <v>760</v>
      </c>
      <c r="O313" s="31">
        <f>1748</f>
        <v>1748</v>
      </c>
      <c r="P313" s="32" t="s">
        <v>1115</v>
      </c>
      <c r="Q313" s="31">
        <f>1792</f>
        <v>1792</v>
      </c>
      <c r="R313" s="32" t="s">
        <v>777</v>
      </c>
      <c r="S313" s="33">
        <f>1780.05</f>
        <v>1780.05</v>
      </c>
      <c r="T313" s="30">
        <f>81700</f>
        <v>81700</v>
      </c>
      <c r="U313" s="30" t="str">
        <f>"－"</f>
        <v>－</v>
      </c>
      <c r="V313" s="30">
        <f>145013345</f>
        <v>145013345</v>
      </c>
      <c r="W313" s="30" t="str">
        <f>"－"</f>
        <v>－</v>
      </c>
      <c r="X313" s="34">
        <f>21</f>
        <v>21</v>
      </c>
    </row>
    <row r="314" spans="1:24">
      <c r="A314" s="25" t="s">
        <v>1201</v>
      </c>
      <c r="B314" s="25" t="s">
        <v>659</v>
      </c>
      <c r="C314" s="25" t="s">
        <v>660</v>
      </c>
      <c r="D314" s="25" t="s">
        <v>661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2085</f>
        <v>2085</v>
      </c>
      <c r="L314" s="32" t="s">
        <v>1110</v>
      </c>
      <c r="M314" s="31">
        <f>2093</f>
        <v>2093</v>
      </c>
      <c r="N314" s="32" t="s">
        <v>760</v>
      </c>
      <c r="O314" s="31">
        <f>2074</f>
        <v>2074</v>
      </c>
      <c r="P314" s="32" t="s">
        <v>1124</v>
      </c>
      <c r="Q314" s="31">
        <f>2083</f>
        <v>2083</v>
      </c>
      <c r="R314" s="32" t="s">
        <v>777</v>
      </c>
      <c r="S314" s="33">
        <f>2083.86</f>
        <v>2083.86</v>
      </c>
      <c r="T314" s="30">
        <f>2757193</f>
        <v>2757193</v>
      </c>
      <c r="U314" s="30">
        <f>2733000</f>
        <v>2733000</v>
      </c>
      <c r="V314" s="30">
        <f>5753094253</f>
        <v>5753094253</v>
      </c>
      <c r="W314" s="30">
        <f>5702647200</f>
        <v>5702647200</v>
      </c>
      <c r="X314" s="34">
        <f>21</f>
        <v>21</v>
      </c>
    </row>
    <row r="315" spans="1:24">
      <c r="A315" s="25" t="s">
        <v>1201</v>
      </c>
      <c r="B315" s="25" t="s">
        <v>662</v>
      </c>
      <c r="C315" s="25" t="s">
        <v>663</v>
      </c>
      <c r="D315" s="25" t="s">
        <v>948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3890</f>
        <v>3890</v>
      </c>
      <c r="L315" s="32" t="s">
        <v>1110</v>
      </c>
      <c r="M315" s="31">
        <f>3890</f>
        <v>3890</v>
      </c>
      <c r="N315" s="32" t="s">
        <v>1110</v>
      </c>
      <c r="O315" s="31">
        <f>3070</f>
        <v>3070</v>
      </c>
      <c r="P315" s="32" t="s">
        <v>674</v>
      </c>
      <c r="Q315" s="31">
        <f>3875</f>
        <v>3875</v>
      </c>
      <c r="R315" s="32" t="s">
        <v>777</v>
      </c>
      <c r="S315" s="33">
        <f>3696.9</f>
        <v>3696.9</v>
      </c>
      <c r="T315" s="30">
        <f>2072637</f>
        <v>2072637</v>
      </c>
      <c r="U315" s="30">
        <f>1129567</f>
        <v>1129567</v>
      </c>
      <c r="V315" s="30">
        <f>7591628890</f>
        <v>7591628890</v>
      </c>
      <c r="W315" s="30">
        <f>4140741740</f>
        <v>4140741740</v>
      </c>
      <c r="X315" s="34">
        <f>21</f>
        <v>21</v>
      </c>
    </row>
    <row r="316" spans="1:24">
      <c r="A316" s="25" t="s">
        <v>1201</v>
      </c>
      <c r="B316" s="25" t="s">
        <v>664</v>
      </c>
      <c r="C316" s="25" t="s">
        <v>665</v>
      </c>
      <c r="D316" s="25" t="s">
        <v>949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2795</f>
        <v>2795</v>
      </c>
      <c r="L316" s="32" t="s">
        <v>1110</v>
      </c>
      <c r="M316" s="31">
        <f>2795</f>
        <v>2795</v>
      </c>
      <c r="N316" s="32" t="s">
        <v>1110</v>
      </c>
      <c r="O316" s="31">
        <f>2130</f>
        <v>2130</v>
      </c>
      <c r="P316" s="32" t="s">
        <v>674</v>
      </c>
      <c r="Q316" s="31">
        <f>2717</f>
        <v>2717</v>
      </c>
      <c r="R316" s="32" t="s">
        <v>777</v>
      </c>
      <c r="S316" s="33">
        <f>2599.67</f>
        <v>2599.67</v>
      </c>
      <c r="T316" s="30">
        <f>2584416</f>
        <v>2584416</v>
      </c>
      <c r="U316" s="30">
        <f>1861783</f>
        <v>1861783</v>
      </c>
      <c r="V316" s="30">
        <f>6203670296</f>
        <v>6203670296</v>
      </c>
      <c r="W316" s="30">
        <f>4453481167</f>
        <v>4453481167</v>
      </c>
      <c r="X316" s="34">
        <f>21</f>
        <v>21</v>
      </c>
    </row>
    <row r="317" spans="1:24">
      <c r="A317" s="25" t="s">
        <v>1201</v>
      </c>
      <c r="B317" s="25" t="s">
        <v>666</v>
      </c>
      <c r="C317" s="25" t="s">
        <v>667</v>
      </c>
      <c r="D317" s="25" t="s">
        <v>668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2219</f>
        <v>2219</v>
      </c>
      <c r="L317" s="32" t="s">
        <v>1110</v>
      </c>
      <c r="M317" s="31">
        <f>2309</f>
        <v>2309</v>
      </c>
      <c r="N317" s="32" t="s">
        <v>777</v>
      </c>
      <c r="O317" s="31">
        <f>1952</f>
        <v>1952</v>
      </c>
      <c r="P317" s="32" t="s">
        <v>674</v>
      </c>
      <c r="Q317" s="31">
        <f>2300</f>
        <v>2300</v>
      </c>
      <c r="R317" s="32" t="s">
        <v>777</v>
      </c>
      <c r="S317" s="33">
        <f>2175.29</f>
        <v>2175.29</v>
      </c>
      <c r="T317" s="30">
        <f>33872</f>
        <v>33872</v>
      </c>
      <c r="U317" s="30" t="str">
        <f>"－"</f>
        <v>－</v>
      </c>
      <c r="V317" s="30">
        <f>75539985</f>
        <v>75539985</v>
      </c>
      <c r="W317" s="30" t="str">
        <f>"－"</f>
        <v>－</v>
      </c>
      <c r="X317" s="34">
        <f>21</f>
        <v>21</v>
      </c>
    </row>
    <row r="318" spans="1:24">
      <c r="A318" s="25" t="s">
        <v>1201</v>
      </c>
      <c r="B318" s="25" t="s">
        <v>669</v>
      </c>
      <c r="C318" s="25" t="s">
        <v>670</v>
      </c>
      <c r="D318" s="25" t="s">
        <v>671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1300</f>
        <v>1300</v>
      </c>
      <c r="L318" s="32" t="s">
        <v>1110</v>
      </c>
      <c r="M318" s="31">
        <f>1406</f>
        <v>1406</v>
      </c>
      <c r="N318" s="32" t="s">
        <v>1114</v>
      </c>
      <c r="O318" s="31">
        <f>1100</f>
        <v>1100</v>
      </c>
      <c r="P318" s="32" t="s">
        <v>674</v>
      </c>
      <c r="Q318" s="31">
        <f>1397</f>
        <v>1397</v>
      </c>
      <c r="R318" s="32" t="s">
        <v>777</v>
      </c>
      <c r="S318" s="33">
        <f>1314.95</f>
        <v>1314.95</v>
      </c>
      <c r="T318" s="30">
        <f>20764</f>
        <v>20764</v>
      </c>
      <c r="U318" s="30" t="str">
        <f>"－"</f>
        <v>－</v>
      </c>
      <c r="V318" s="30">
        <f>27148144</f>
        <v>27148144</v>
      </c>
      <c r="W318" s="30" t="str">
        <f>"－"</f>
        <v>－</v>
      </c>
      <c r="X318" s="34">
        <f>21</f>
        <v>21</v>
      </c>
    </row>
    <row r="319" spans="1:24">
      <c r="A319" s="25" t="s">
        <v>1201</v>
      </c>
      <c r="B319" s="25" t="s">
        <v>687</v>
      </c>
      <c r="C319" s="25" t="s">
        <v>688</v>
      </c>
      <c r="D319" s="25" t="s">
        <v>689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1600</f>
        <v>1600</v>
      </c>
      <c r="L319" s="32" t="s">
        <v>1110</v>
      </c>
      <c r="M319" s="31">
        <f>1600</f>
        <v>1600</v>
      </c>
      <c r="N319" s="32" t="s">
        <v>1110</v>
      </c>
      <c r="O319" s="31">
        <f>1390</f>
        <v>1390</v>
      </c>
      <c r="P319" s="32" t="s">
        <v>883</v>
      </c>
      <c r="Q319" s="31">
        <f>1500</f>
        <v>1500</v>
      </c>
      <c r="R319" s="32" t="s">
        <v>777</v>
      </c>
      <c r="S319" s="33">
        <f>1473.38</f>
        <v>1473.38</v>
      </c>
      <c r="T319" s="30">
        <f>30963</f>
        <v>30963</v>
      </c>
      <c r="U319" s="30" t="str">
        <f>"－"</f>
        <v>－</v>
      </c>
      <c r="V319" s="30">
        <f>45206713</f>
        <v>45206713</v>
      </c>
      <c r="W319" s="30" t="str">
        <f>"－"</f>
        <v>－</v>
      </c>
      <c r="X319" s="34">
        <f>21</f>
        <v>21</v>
      </c>
    </row>
    <row r="320" spans="1:24">
      <c r="A320" s="25" t="s">
        <v>1201</v>
      </c>
      <c r="B320" s="25" t="s">
        <v>690</v>
      </c>
      <c r="C320" s="25" t="s">
        <v>691</v>
      </c>
      <c r="D320" s="25" t="s">
        <v>692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2400</f>
        <v>2400</v>
      </c>
      <c r="L320" s="32" t="s">
        <v>1110</v>
      </c>
      <c r="M320" s="31">
        <f>2400</f>
        <v>2400</v>
      </c>
      <c r="N320" s="32" t="s">
        <v>1110</v>
      </c>
      <c r="O320" s="31">
        <f>2213</f>
        <v>2213</v>
      </c>
      <c r="P320" s="32" t="s">
        <v>674</v>
      </c>
      <c r="Q320" s="31">
        <f>2314</f>
        <v>2314</v>
      </c>
      <c r="R320" s="32" t="s">
        <v>777</v>
      </c>
      <c r="S320" s="33">
        <f>2280.15</f>
        <v>2280.15</v>
      </c>
      <c r="T320" s="30">
        <f>9122</f>
        <v>9122</v>
      </c>
      <c r="U320" s="30" t="str">
        <f>"－"</f>
        <v>－</v>
      </c>
      <c r="V320" s="30">
        <f>21326032</f>
        <v>21326032</v>
      </c>
      <c r="W320" s="30" t="str">
        <f>"－"</f>
        <v>－</v>
      </c>
      <c r="X320" s="34">
        <f>20</f>
        <v>20</v>
      </c>
    </row>
    <row r="321" spans="1:24">
      <c r="A321" s="25" t="s">
        <v>1201</v>
      </c>
      <c r="B321" s="25" t="s">
        <v>693</v>
      </c>
      <c r="C321" s="25" t="s">
        <v>694</v>
      </c>
      <c r="D321" s="25" t="s">
        <v>695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12625</f>
        <v>12625</v>
      </c>
      <c r="L321" s="32" t="s">
        <v>1110</v>
      </c>
      <c r="M321" s="31">
        <f>12880</f>
        <v>12880</v>
      </c>
      <c r="N321" s="32" t="s">
        <v>1110</v>
      </c>
      <c r="O321" s="31">
        <f>11600</f>
        <v>11600</v>
      </c>
      <c r="P321" s="32" t="s">
        <v>1115</v>
      </c>
      <c r="Q321" s="31">
        <f>12750</f>
        <v>12750</v>
      </c>
      <c r="R321" s="32" t="s">
        <v>777</v>
      </c>
      <c r="S321" s="33">
        <f>12490.95</f>
        <v>12490.95</v>
      </c>
      <c r="T321" s="30">
        <f>229440</f>
        <v>229440</v>
      </c>
      <c r="U321" s="30">
        <f>11</f>
        <v>11</v>
      </c>
      <c r="V321" s="30">
        <f>2839470600</f>
        <v>2839470600</v>
      </c>
      <c r="W321" s="30">
        <f>137260</f>
        <v>137260</v>
      </c>
      <c r="X321" s="34">
        <f>21</f>
        <v>21</v>
      </c>
    </row>
    <row r="322" spans="1:24">
      <c r="A322" s="25" t="s">
        <v>1201</v>
      </c>
      <c r="B322" s="25" t="s">
        <v>696</v>
      </c>
      <c r="C322" s="25" t="s">
        <v>697</v>
      </c>
      <c r="D322" s="25" t="s">
        <v>698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20990</f>
        <v>20990</v>
      </c>
      <c r="L322" s="32" t="s">
        <v>1110</v>
      </c>
      <c r="M322" s="31">
        <f>21035</f>
        <v>21035</v>
      </c>
      <c r="N322" s="32" t="s">
        <v>1110</v>
      </c>
      <c r="O322" s="31">
        <f>17500</f>
        <v>17500</v>
      </c>
      <c r="P322" s="32" t="s">
        <v>674</v>
      </c>
      <c r="Q322" s="31">
        <f>20170</f>
        <v>20170</v>
      </c>
      <c r="R322" s="32" t="s">
        <v>777</v>
      </c>
      <c r="S322" s="33">
        <f>20005.24</f>
        <v>20005.240000000002</v>
      </c>
      <c r="T322" s="30">
        <f>667072</f>
        <v>667072</v>
      </c>
      <c r="U322" s="30">
        <f>83</f>
        <v>83</v>
      </c>
      <c r="V322" s="30">
        <f>12982962875</f>
        <v>12982962875</v>
      </c>
      <c r="W322" s="30">
        <f>1676585</f>
        <v>1676585</v>
      </c>
      <c r="X322" s="34">
        <f>21</f>
        <v>21</v>
      </c>
    </row>
    <row r="323" spans="1:24">
      <c r="A323" s="25" t="s">
        <v>1201</v>
      </c>
      <c r="B323" s="25" t="s">
        <v>699</v>
      </c>
      <c r="C323" s="25" t="s">
        <v>700</v>
      </c>
      <c r="D323" s="25" t="s">
        <v>701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12920</f>
        <v>12920</v>
      </c>
      <c r="L323" s="32" t="s">
        <v>1110</v>
      </c>
      <c r="M323" s="31">
        <f>13070</f>
        <v>13070</v>
      </c>
      <c r="N323" s="32" t="s">
        <v>874</v>
      </c>
      <c r="O323" s="31">
        <f>11075</f>
        <v>11075</v>
      </c>
      <c r="P323" s="32" t="s">
        <v>674</v>
      </c>
      <c r="Q323" s="31">
        <f>12755</f>
        <v>12755</v>
      </c>
      <c r="R323" s="32" t="s">
        <v>777</v>
      </c>
      <c r="S323" s="33">
        <f>12580.95</f>
        <v>12580.95</v>
      </c>
      <c r="T323" s="30">
        <f>640955</f>
        <v>640955</v>
      </c>
      <c r="U323" s="30">
        <f>227515</f>
        <v>227515</v>
      </c>
      <c r="V323" s="30">
        <f>8110340577</f>
        <v>8110340577</v>
      </c>
      <c r="W323" s="30">
        <f>2924946887</f>
        <v>2924946887</v>
      </c>
      <c r="X323" s="34">
        <f>21</f>
        <v>21</v>
      </c>
    </row>
    <row r="324" spans="1:24">
      <c r="A324" s="25" t="s">
        <v>1201</v>
      </c>
      <c r="B324" s="25" t="s">
        <v>702</v>
      </c>
      <c r="C324" s="25" t="s">
        <v>703</v>
      </c>
      <c r="D324" s="25" t="s">
        <v>704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384.4</f>
        <v>384.4</v>
      </c>
      <c r="L324" s="32" t="s">
        <v>1110</v>
      </c>
      <c r="M324" s="31">
        <f>385.4</f>
        <v>385.4</v>
      </c>
      <c r="N324" s="32" t="s">
        <v>1110</v>
      </c>
      <c r="O324" s="31">
        <f>341.4</f>
        <v>341.4</v>
      </c>
      <c r="P324" s="32" t="s">
        <v>674</v>
      </c>
      <c r="Q324" s="31">
        <f>375.9</f>
        <v>375.9</v>
      </c>
      <c r="R324" s="32" t="s">
        <v>777</v>
      </c>
      <c r="S324" s="33">
        <f>370.51</f>
        <v>370.51</v>
      </c>
      <c r="T324" s="30">
        <f>25567140</f>
        <v>25567140</v>
      </c>
      <c r="U324" s="30">
        <f>1998930</f>
        <v>1998930</v>
      </c>
      <c r="V324" s="30">
        <f>9398866874</f>
        <v>9398866874</v>
      </c>
      <c r="W324" s="30">
        <f>755433290</f>
        <v>755433290</v>
      </c>
      <c r="X324" s="34">
        <f>21</f>
        <v>21</v>
      </c>
    </row>
    <row r="325" spans="1:24">
      <c r="A325" s="25" t="s">
        <v>1201</v>
      </c>
      <c r="B325" s="25" t="s">
        <v>705</v>
      </c>
      <c r="C325" s="25" t="s">
        <v>706</v>
      </c>
      <c r="D325" s="25" t="s">
        <v>707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2486.5</f>
        <v>2486.5</v>
      </c>
      <c r="L325" s="32" t="s">
        <v>1110</v>
      </c>
      <c r="M325" s="31">
        <f>2523</f>
        <v>2523</v>
      </c>
      <c r="N325" s="32" t="s">
        <v>676</v>
      </c>
      <c r="O325" s="31">
        <f>2290.5</f>
        <v>2290.5</v>
      </c>
      <c r="P325" s="32" t="s">
        <v>674</v>
      </c>
      <c r="Q325" s="31">
        <f>2503.5</f>
        <v>2503.5</v>
      </c>
      <c r="R325" s="32" t="s">
        <v>777</v>
      </c>
      <c r="S325" s="33">
        <f>2449.21</f>
        <v>2449.21</v>
      </c>
      <c r="T325" s="30">
        <f>3161220</f>
        <v>3161220</v>
      </c>
      <c r="U325" s="30">
        <f>2089140</f>
        <v>2089140</v>
      </c>
      <c r="V325" s="30">
        <f>7667791876</f>
        <v>7667791876</v>
      </c>
      <c r="W325" s="30">
        <f>5051333611</f>
        <v>5051333611</v>
      </c>
      <c r="X325" s="34">
        <f>21</f>
        <v>21</v>
      </c>
    </row>
    <row r="326" spans="1:24">
      <c r="A326" s="25" t="s">
        <v>1201</v>
      </c>
      <c r="B326" s="25" t="s">
        <v>708</v>
      </c>
      <c r="C326" s="25" t="s">
        <v>709</v>
      </c>
      <c r="D326" s="25" t="s">
        <v>710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4000</f>
        <v>4000</v>
      </c>
      <c r="L326" s="32" t="s">
        <v>1110</v>
      </c>
      <c r="M326" s="31">
        <f>4000</f>
        <v>4000</v>
      </c>
      <c r="N326" s="32" t="s">
        <v>1110</v>
      </c>
      <c r="O326" s="31">
        <f>3557</f>
        <v>3557</v>
      </c>
      <c r="P326" s="32" t="s">
        <v>674</v>
      </c>
      <c r="Q326" s="31">
        <f>3900</f>
        <v>3900</v>
      </c>
      <c r="R326" s="32" t="s">
        <v>777</v>
      </c>
      <c r="S326" s="33">
        <f>3858.14</f>
        <v>3858.14</v>
      </c>
      <c r="T326" s="30">
        <f>303840</f>
        <v>303840</v>
      </c>
      <c r="U326" s="30">
        <f>20</f>
        <v>20</v>
      </c>
      <c r="V326" s="30">
        <f>1182276980</f>
        <v>1182276980</v>
      </c>
      <c r="W326" s="30">
        <f>76620</f>
        <v>76620</v>
      </c>
      <c r="X326" s="34">
        <f>21</f>
        <v>21</v>
      </c>
    </row>
    <row r="327" spans="1:24">
      <c r="A327" s="25" t="s">
        <v>1201</v>
      </c>
      <c r="B327" s="25" t="s">
        <v>711</v>
      </c>
      <c r="C327" s="25" t="s">
        <v>712</v>
      </c>
      <c r="D327" s="25" t="s">
        <v>713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3390</f>
        <v>3390</v>
      </c>
      <c r="L327" s="32" t="s">
        <v>1110</v>
      </c>
      <c r="M327" s="31">
        <f>3390</f>
        <v>3390</v>
      </c>
      <c r="N327" s="32" t="s">
        <v>1110</v>
      </c>
      <c r="O327" s="31">
        <f>2823</f>
        <v>2823</v>
      </c>
      <c r="P327" s="32" t="s">
        <v>674</v>
      </c>
      <c r="Q327" s="31">
        <f>3365</f>
        <v>3365</v>
      </c>
      <c r="R327" s="32" t="s">
        <v>777</v>
      </c>
      <c r="S327" s="33">
        <f>3217.76</f>
        <v>3217.76</v>
      </c>
      <c r="T327" s="30">
        <f>11087</f>
        <v>11087</v>
      </c>
      <c r="U327" s="30">
        <f>420</f>
        <v>420</v>
      </c>
      <c r="V327" s="30">
        <f>35783927</f>
        <v>35783927</v>
      </c>
      <c r="W327" s="30">
        <f>1325550</f>
        <v>1325550</v>
      </c>
      <c r="X327" s="34">
        <f>21</f>
        <v>21</v>
      </c>
    </row>
    <row r="328" spans="1:24">
      <c r="A328" s="25" t="s">
        <v>1201</v>
      </c>
      <c r="B328" s="25" t="s">
        <v>714</v>
      </c>
      <c r="C328" s="25" t="s">
        <v>1035</v>
      </c>
      <c r="D328" s="25" t="s">
        <v>1034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1691</f>
        <v>1691</v>
      </c>
      <c r="L328" s="32" t="s">
        <v>1110</v>
      </c>
      <c r="M328" s="31">
        <f>1691</f>
        <v>1691</v>
      </c>
      <c r="N328" s="32" t="s">
        <v>1110</v>
      </c>
      <c r="O328" s="31">
        <f>1424</f>
        <v>1424</v>
      </c>
      <c r="P328" s="32" t="s">
        <v>876</v>
      </c>
      <c r="Q328" s="31">
        <f>1583</f>
        <v>1583</v>
      </c>
      <c r="R328" s="32" t="s">
        <v>777</v>
      </c>
      <c r="S328" s="33">
        <f>1537.19</f>
        <v>1537.19</v>
      </c>
      <c r="T328" s="30">
        <f>48920</f>
        <v>48920</v>
      </c>
      <c r="U328" s="30">
        <f>33000</f>
        <v>33000</v>
      </c>
      <c r="V328" s="30">
        <f>73003708</f>
        <v>73003708</v>
      </c>
      <c r="W328" s="30">
        <f>49064400</f>
        <v>49064400</v>
      </c>
      <c r="X328" s="34">
        <f>21</f>
        <v>21</v>
      </c>
    </row>
    <row r="329" spans="1:24">
      <c r="A329" s="25" t="s">
        <v>1201</v>
      </c>
      <c r="B329" s="25" t="s">
        <v>715</v>
      </c>
      <c r="C329" s="25" t="s">
        <v>716</v>
      </c>
      <c r="D329" s="25" t="s">
        <v>717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1983</f>
        <v>1983</v>
      </c>
      <c r="L329" s="32" t="s">
        <v>1110</v>
      </c>
      <c r="M329" s="31">
        <f>2028</f>
        <v>2028</v>
      </c>
      <c r="N329" s="32" t="s">
        <v>777</v>
      </c>
      <c r="O329" s="31">
        <f>1600</f>
        <v>1600</v>
      </c>
      <c r="P329" s="32" t="s">
        <v>674</v>
      </c>
      <c r="Q329" s="31">
        <f>2024</f>
        <v>2024</v>
      </c>
      <c r="R329" s="32" t="s">
        <v>777</v>
      </c>
      <c r="S329" s="33">
        <f>1913.57</f>
        <v>1913.57</v>
      </c>
      <c r="T329" s="30">
        <f>372614</f>
        <v>372614</v>
      </c>
      <c r="U329" s="30">
        <f>45500</f>
        <v>45500</v>
      </c>
      <c r="V329" s="30">
        <f>674814545</f>
        <v>674814545</v>
      </c>
      <c r="W329" s="30">
        <f>81799221</f>
        <v>81799221</v>
      </c>
      <c r="X329" s="34">
        <f>21</f>
        <v>21</v>
      </c>
    </row>
    <row r="330" spans="1:24">
      <c r="A330" s="25" t="s">
        <v>1201</v>
      </c>
      <c r="B330" s="25" t="s">
        <v>718</v>
      </c>
      <c r="C330" s="25" t="s">
        <v>719</v>
      </c>
      <c r="D330" s="25" t="s">
        <v>720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1690</f>
        <v>1690</v>
      </c>
      <c r="L330" s="32" t="s">
        <v>1110</v>
      </c>
      <c r="M330" s="31">
        <f>1775</f>
        <v>1775</v>
      </c>
      <c r="N330" s="32" t="s">
        <v>1114</v>
      </c>
      <c r="O330" s="31">
        <f>1487</f>
        <v>1487</v>
      </c>
      <c r="P330" s="32" t="s">
        <v>674</v>
      </c>
      <c r="Q330" s="31">
        <f>1748</f>
        <v>1748</v>
      </c>
      <c r="R330" s="32" t="s">
        <v>777</v>
      </c>
      <c r="S330" s="33">
        <f>1661</f>
        <v>1661</v>
      </c>
      <c r="T330" s="30">
        <f>21946</f>
        <v>21946</v>
      </c>
      <c r="U330" s="30">
        <f>20</f>
        <v>20</v>
      </c>
      <c r="V330" s="30">
        <f>37035807</f>
        <v>37035807</v>
      </c>
      <c r="W330" s="30">
        <f>29636</f>
        <v>29636</v>
      </c>
      <c r="X330" s="34">
        <f>21</f>
        <v>21</v>
      </c>
    </row>
    <row r="331" spans="1:24">
      <c r="A331" s="25" t="s">
        <v>1201</v>
      </c>
      <c r="B331" s="25" t="s">
        <v>721</v>
      </c>
      <c r="C331" s="25" t="s">
        <v>722</v>
      </c>
      <c r="D331" s="25" t="s">
        <v>723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3085</f>
        <v>3085</v>
      </c>
      <c r="L331" s="32" t="s">
        <v>1110</v>
      </c>
      <c r="M331" s="31">
        <f>3165</f>
        <v>3165</v>
      </c>
      <c r="N331" s="32" t="s">
        <v>1114</v>
      </c>
      <c r="O331" s="31">
        <f>2540</f>
        <v>2540</v>
      </c>
      <c r="P331" s="32" t="s">
        <v>674</v>
      </c>
      <c r="Q331" s="31">
        <f>3165</f>
        <v>3165</v>
      </c>
      <c r="R331" s="32" t="s">
        <v>777</v>
      </c>
      <c r="S331" s="33">
        <f>2994.81</f>
        <v>2994.81</v>
      </c>
      <c r="T331" s="30">
        <f>43682</f>
        <v>43682</v>
      </c>
      <c r="U331" s="30">
        <f>500</f>
        <v>500</v>
      </c>
      <c r="V331" s="30">
        <f>129078530</f>
        <v>129078530</v>
      </c>
      <c r="W331" s="30">
        <f>1480130</f>
        <v>1480130</v>
      </c>
      <c r="X331" s="34">
        <f>21</f>
        <v>21</v>
      </c>
    </row>
    <row r="332" spans="1:24">
      <c r="A332" s="25" t="s">
        <v>1201</v>
      </c>
      <c r="B332" s="25" t="s">
        <v>724</v>
      </c>
      <c r="C332" s="25" t="s">
        <v>1033</v>
      </c>
      <c r="D332" s="25" t="s">
        <v>1032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3190</f>
        <v>3190</v>
      </c>
      <c r="L332" s="32" t="s">
        <v>1110</v>
      </c>
      <c r="M332" s="31">
        <f>3190</f>
        <v>3190</v>
      </c>
      <c r="N332" s="32" t="s">
        <v>1110</v>
      </c>
      <c r="O332" s="31">
        <f>2319</f>
        <v>2319</v>
      </c>
      <c r="P332" s="32" t="s">
        <v>674</v>
      </c>
      <c r="Q332" s="31">
        <f>3070</f>
        <v>3070</v>
      </c>
      <c r="R332" s="32" t="s">
        <v>777</v>
      </c>
      <c r="S332" s="33">
        <f>2911.14</f>
        <v>2911.14</v>
      </c>
      <c r="T332" s="30">
        <f>457714</f>
        <v>457714</v>
      </c>
      <c r="U332" s="30">
        <f>100670</f>
        <v>100670</v>
      </c>
      <c r="V332" s="30">
        <f>1271253765</f>
        <v>1271253765</v>
      </c>
      <c r="W332" s="30">
        <f>289582978</f>
        <v>289582978</v>
      </c>
      <c r="X332" s="34">
        <f>21</f>
        <v>21</v>
      </c>
    </row>
    <row r="333" spans="1:24">
      <c r="A333" s="25" t="s">
        <v>1201</v>
      </c>
      <c r="B333" s="25" t="s">
        <v>725</v>
      </c>
      <c r="C333" s="25" t="s">
        <v>726</v>
      </c>
      <c r="D333" s="25" t="s">
        <v>727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36040</f>
        <v>36040</v>
      </c>
      <c r="L333" s="32" t="s">
        <v>1110</v>
      </c>
      <c r="M333" s="31">
        <f>36040</f>
        <v>36040</v>
      </c>
      <c r="N333" s="32" t="s">
        <v>1110</v>
      </c>
      <c r="O333" s="31">
        <f>28300</f>
        <v>28300</v>
      </c>
      <c r="P333" s="32" t="s">
        <v>674</v>
      </c>
      <c r="Q333" s="31">
        <f>35750</f>
        <v>35750</v>
      </c>
      <c r="R333" s="32" t="s">
        <v>777</v>
      </c>
      <c r="S333" s="33">
        <f>34083.68</f>
        <v>34083.68</v>
      </c>
      <c r="T333" s="30">
        <f>124</f>
        <v>124</v>
      </c>
      <c r="U333" s="30" t="str">
        <f>"－"</f>
        <v>－</v>
      </c>
      <c r="V333" s="30">
        <f>3914465</f>
        <v>3914465</v>
      </c>
      <c r="W333" s="30" t="str">
        <f>"－"</f>
        <v>－</v>
      </c>
      <c r="X333" s="34">
        <f>19</f>
        <v>19</v>
      </c>
    </row>
    <row r="334" spans="1:24">
      <c r="A334" s="25" t="s">
        <v>1201</v>
      </c>
      <c r="B334" s="25" t="s">
        <v>728</v>
      </c>
      <c r="C334" s="25" t="s">
        <v>729</v>
      </c>
      <c r="D334" s="25" t="s">
        <v>730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2896</f>
        <v>2896</v>
      </c>
      <c r="L334" s="32" t="s">
        <v>1110</v>
      </c>
      <c r="M334" s="31">
        <f>2896</f>
        <v>2896</v>
      </c>
      <c r="N334" s="32" t="s">
        <v>1110</v>
      </c>
      <c r="O334" s="31">
        <f>2380</f>
        <v>2380</v>
      </c>
      <c r="P334" s="32" t="s">
        <v>674</v>
      </c>
      <c r="Q334" s="31">
        <f>2850</f>
        <v>2850</v>
      </c>
      <c r="R334" s="32" t="s">
        <v>777</v>
      </c>
      <c r="S334" s="33">
        <f>2713.67</f>
        <v>2713.67</v>
      </c>
      <c r="T334" s="30">
        <f>17591</f>
        <v>17591</v>
      </c>
      <c r="U334" s="30" t="str">
        <f>"－"</f>
        <v>－</v>
      </c>
      <c r="V334" s="30">
        <f>46147561</f>
        <v>46147561</v>
      </c>
      <c r="W334" s="30" t="str">
        <f>"－"</f>
        <v>－</v>
      </c>
      <c r="X334" s="34">
        <f>21</f>
        <v>21</v>
      </c>
    </row>
    <row r="335" spans="1:24">
      <c r="A335" s="25" t="s">
        <v>1201</v>
      </c>
      <c r="B335" s="25" t="s">
        <v>731</v>
      </c>
      <c r="C335" s="25" t="s">
        <v>732</v>
      </c>
      <c r="D335" s="25" t="s">
        <v>733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4285</f>
        <v>4285</v>
      </c>
      <c r="L335" s="32" t="s">
        <v>1110</v>
      </c>
      <c r="M335" s="31">
        <f>4285</f>
        <v>4285</v>
      </c>
      <c r="N335" s="32" t="s">
        <v>1110</v>
      </c>
      <c r="O335" s="31">
        <f>3100</f>
        <v>3100</v>
      </c>
      <c r="P335" s="32" t="s">
        <v>674</v>
      </c>
      <c r="Q335" s="31">
        <f>3955</f>
        <v>3955</v>
      </c>
      <c r="R335" s="32" t="s">
        <v>777</v>
      </c>
      <c r="S335" s="33">
        <f>3819.29</f>
        <v>3819.29</v>
      </c>
      <c r="T335" s="30">
        <f>15342552</f>
        <v>15342552</v>
      </c>
      <c r="U335" s="30">
        <f>1640881</f>
        <v>1640881</v>
      </c>
      <c r="V335" s="30">
        <f>57315108125</f>
        <v>57315108125</v>
      </c>
      <c r="W335" s="30">
        <f>6104783635</f>
        <v>6104783635</v>
      </c>
      <c r="X335" s="34">
        <f>21</f>
        <v>21</v>
      </c>
    </row>
    <row r="336" spans="1:24">
      <c r="A336" s="25" t="s">
        <v>1201</v>
      </c>
      <c r="B336" s="25" t="s">
        <v>734</v>
      </c>
      <c r="C336" s="25" t="s">
        <v>735</v>
      </c>
      <c r="D336" s="25" t="s">
        <v>736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2157</f>
        <v>2157</v>
      </c>
      <c r="L336" s="32" t="s">
        <v>1110</v>
      </c>
      <c r="M336" s="31">
        <f>2280</f>
        <v>2280</v>
      </c>
      <c r="N336" s="32" t="s">
        <v>1114</v>
      </c>
      <c r="O336" s="31">
        <f>1804</f>
        <v>1804</v>
      </c>
      <c r="P336" s="32" t="s">
        <v>1124</v>
      </c>
      <c r="Q336" s="31">
        <f>2280</f>
        <v>2280</v>
      </c>
      <c r="R336" s="32" t="s">
        <v>777</v>
      </c>
      <c r="S336" s="33">
        <f>2133.19</f>
        <v>2133.19</v>
      </c>
      <c r="T336" s="30">
        <f>20819</f>
        <v>20819</v>
      </c>
      <c r="U336" s="30">
        <f>100</f>
        <v>100</v>
      </c>
      <c r="V336" s="30">
        <f>42224930</f>
        <v>42224930</v>
      </c>
      <c r="W336" s="30">
        <f>185520</f>
        <v>185520</v>
      </c>
      <c r="X336" s="34">
        <f>21</f>
        <v>21</v>
      </c>
    </row>
    <row r="337" spans="1:24">
      <c r="A337" s="25" t="s">
        <v>1201</v>
      </c>
      <c r="B337" s="25" t="s">
        <v>737</v>
      </c>
      <c r="C337" s="25" t="s">
        <v>738</v>
      </c>
      <c r="D337" s="25" t="s">
        <v>739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1816</f>
        <v>1816</v>
      </c>
      <c r="L337" s="32" t="s">
        <v>1110</v>
      </c>
      <c r="M337" s="31">
        <f>1820</f>
        <v>1820</v>
      </c>
      <c r="N337" s="32" t="s">
        <v>1116</v>
      </c>
      <c r="O337" s="31">
        <f>1400</f>
        <v>1400</v>
      </c>
      <c r="P337" s="32" t="s">
        <v>674</v>
      </c>
      <c r="Q337" s="31">
        <f>1710</f>
        <v>1710</v>
      </c>
      <c r="R337" s="32" t="s">
        <v>777</v>
      </c>
      <c r="S337" s="33">
        <f>1650.48</f>
        <v>1650.48</v>
      </c>
      <c r="T337" s="30">
        <f>7548</f>
        <v>7548</v>
      </c>
      <c r="U337" s="30" t="str">
        <f>"－"</f>
        <v>－</v>
      </c>
      <c r="V337" s="30">
        <f>12295087</f>
        <v>12295087</v>
      </c>
      <c r="W337" s="30" t="str">
        <f>"－"</f>
        <v>－</v>
      </c>
      <c r="X337" s="34">
        <f>21</f>
        <v>21</v>
      </c>
    </row>
    <row r="338" spans="1:24">
      <c r="A338" s="25" t="s">
        <v>1201</v>
      </c>
      <c r="B338" s="25" t="s">
        <v>740</v>
      </c>
      <c r="C338" s="25" t="s">
        <v>741</v>
      </c>
      <c r="D338" s="25" t="s">
        <v>742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5641</f>
        <v>5641</v>
      </c>
      <c r="L338" s="32" t="s">
        <v>1110</v>
      </c>
      <c r="M338" s="31">
        <f>5742</f>
        <v>5742</v>
      </c>
      <c r="N338" s="32" t="s">
        <v>1116</v>
      </c>
      <c r="O338" s="31">
        <f>5500</f>
        <v>5500</v>
      </c>
      <c r="P338" s="32" t="s">
        <v>674</v>
      </c>
      <c r="Q338" s="31">
        <f>5560</f>
        <v>5560</v>
      </c>
      <c r="R338" s="32" t="s">
        <v>777</v>
      </c>
      <c r="S338" s="33">
        <f>5597.89</f>
        <v>5597.89</v>
      </c>
      <c r="T338" s="30">
        <f>122790</f>
        <v>122790</v>
      </c>
      <c r="U338" s="30">
        <f>117000</f>
        <v>117000</v>
      </c>
      <c r="V338" s="30">
        <f>692814369</f>
        <v>692814369</v>
      </c>
      <c r="W338" s="30">
        <f>660421149</f>
        <v>660421149</v>
      </c>
      <c r="X338" s="34">
        <f>19</f>
        <v>19</v>
      </c>
    </row>
    <row r="339" spans="1:24">
      <c r="A339" s="25" t="s">
        <v>1201</v>
      </c>
      <c r="B339" s="25" t="s">
        <v>743</v>
      </c>
      <c r="C339" s="25" t="s">
        <v>744</v>
      </c>
      <c r="D339" s="25" t="s">
        <v>745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3767</f>
        <v>3767</v>
      </c>
      <c r="L339" s="32" t="s">
        <v>1110</v>
      </c>
      <c r="M339" s="31">
        <f>3853</f>
        <v>3853</v>
      </c>
      <c r="N339" s="32" t="s">
        <v>674</v>
      </c>
      <c r="O339" s="31">
        <f>3757</f>
        <v>3757</v>
      </c>
      <c r="P339" s="32" t="s">
        <v>1110</v>
      </c>
      <c r="Q339" s="31">
        <f>3804</f>
        <v>3804</v>
      </c>
      <c r="R339" s="32" t="s">
        <v>777</v>
      </c>
      <c r="S339" s="33">
        <f>3806.42</f>
        <v>3806.42</v>
      </c>
      <c r="T339" s="30">
        <f>1417560</f>
        <v>1417560</v>
      </c>
      <c r="U339" s="30">
        <f>1262770</f>
        <v>1262770</v>
      </c>
      <c r="V339" s="30">
        <f>5392261088</f>
        <v>5392261088</v>
      </c>
      <c r="W339" s="30">
        <f>4802982418</f>
        <v>4802982418</v>
      </c>
      <c r="X339" s="34">
        <f>19</f>
        <v>19</v>
      </c>
    </row>
    <row r="340" spans="1:24">
      <c r="A340" s="25" t="s">
        <v>1201</v>
      </c>
      <c r="B340" s="25" t="s">
        <v>746</v>
      </c>
      <c r="C340" s="25" t="s">
        <v>747</v>
      </c>
      <c r="D340" s="25" t="s">
        <v>748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10</v>
      </c>
      <c r="K340" s="31">
        <f>630</f>
        <v>630</v>
      </c>
      <c r="L340" s="32" t="s">
        <v>1110</v>
      </c>
      <c r="M340" s="31">
        <f>643.3</f>
        <v>643.29999999999995</v>
      </c>
      <c r="N340" s="32" t="s">
        <v>674</v>
      </c>
      <c r="O340" s="31">
        <f>629.6</f>
        <v>629.6</v>
      </c>
      <c r="P340" s="32" t="s">
        <v>1110</v>
      </c>
      <c r="Q340" s="31">
        <f>638.3</f>
        <v>638.29999999999995</v>
      </c>
      <c r="R340" s="32" t="s">
        <v>777</v>
      </c>
      <c r="S340" s="33">
        <f>636.7</f>
        <v>636.70000000000005</v>
      </c>
      <c r="T340" s="30">
        <f>337130</f>
        <v>337130</v>
      </c>
      <c r="U340" s="30">
        <f>319920</f>
        <v>319920</v>
      </c>
      <c r="V340" s="30">
        <f>213846648</f>
        <v>213846648</v>
      </c>
      <c r="W340" s="30">
        <f>202877394</f>
        <v>202877394</v>
      </c>
      <c r="X340" s="34">
        <f>21</f>
        <v>21</v>
      </c>
    </row>
    <row r="341" spans="1:24">
      <c r="A341" s="25" t="s">
        <v>1201</v>
      </c>
      <c r="B341" s="25" t="s">
        <v>749</v>
      </c>
      <c r="C341" s="25" t="s">
        <v>750</v>
      </c>
      <c r="D341" s="25" t="s">
        <v>751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</v>
      </c>
      <c r="K341" s="31">
        <f>2437</f>
        <v>2437</v>
      </c>
      <c r="L341" s="32" t="s">
        <v>1110</v>
      </c>
      <c r="M341" s="31">
        <f>2522</f>
        <v>2522</v>
      </c>
      <c r="N341" s="32" t="s">
        <v>1114</v>
      </c>
      <c r="O341" s="31">
        <f>2050</f>
        <v>2050</v>
      </c>
      <c r="P341" s="32" t="s">
        <v>674</v>
      </c>
      <c r="Q341" s="31">
        <f>2486</f>
        <v>2486</v>
      </c>
      <c r="R341" s="32" t="s">
        <v>777</v>
      </c>
      <c r="S341" s="33">
        <f>2350.29</f>
        <v>2350.29</v>
      </c>
      <c r="T341" s="30">
        <f>53465</f>
        <v>53465</v>
      </c>
      <c r="U341" s="30">
        <f>50</f>
        <v>50</v>
      </c>
      <c r="V341" s="30">
        <f>128891668</f>
        <v>128891668</v>
      </c>
      <c r="W341" s="30">
        <f>110745</f>
        <v>110745</v>
      </c>
      <c r="X341" s="34">
        <f>21</f>
        <v>21</v>
      </c>
    </row>
    <row r="342" spans="1:24">
      <c r="A342" s="25" t="s">
        <v>1201</v>
      </c>
      <c r="B342" s="25" t="s">
        <v>752</v>
      </c>
      <c r="C342" s="25" t="s">
        <v>1031</v>
      </c>
      <c r="D342" s="25" t="s">
        <v>1030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</v>
      </c>
      <c r="K342" s="31">
        <f>2212</f>
        <v>2212</v>
      </c>
      <c r="L342" s="32" t="s">
        <v>1110</v>
      </c>
      <c r="M342" s="31">
        <f>2292</f>
        <v>2292</v>
      </c>
      <c r="N342" s="32" t="s">
        <v>777</v>
      </c>
      <c r="O342" s="31">
        <f>1920</f>
        <v>1920</v>
      </c>
      <c r="P342" s="32" t="s">
        <v>1124</v>
      </c>
      <c r="Q342" s="31">
        <f>2292</f>
        <v>2292</v>
      </c>
      <c r="R342" s="32" t="s">
        <v>777</v>
      </c>
      <c r="S342" s="33">
        <f>2164.43</f>
        <v>2164.4299999999998</v>
      </c>
      <c r="T342" s="30">
        <f>10514</f>
        <v>10514</v>
      </c>
      <c r="U342" s="30">
        <f>34</f>
        <v>34</v>
      </c>
      <c r="V342" s="30">
        <f>22350501</f>
        <v>22350501</v>
      </c>
      <c r="W342" s="30">
        <f>74090</f>
        <v>74090</v>
      </c>
      <c r="X342" s="34">
        <f>21</f>
        <v>21</v>
      </c>
    </row>
    <row r="343" spans="1:24">
      <c r="A343" s="25" t="s">
        <v>1201</v>
      </c>
      <c r="B343" s="25" t="s">
        <v>753</v>
      </c>
      <c r="C343" s="25" t="s">
        <v>754</v>
      </c>
      <c r="D343" s="25" t="s">
        <v>755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8465</f>
        <v>8465</v>
      </c>
      <c r="L343" s="32" t="s">
        <v>1110</v>
      </c>
      <c r="M343" s="31">
        <f>9501</f>
        <v>9501</v>
      </c>
      <c r="N343" s="32" t="s">
        <v>1116</v>
      </c>
      <c r="O343" s="31">
        <f>8224</f>
        <v>8224</v>
      </c>
      <c r="P343" s="32" t="s">
        <v>676</v>
      </c>
      <c r="Q343" s="31">
        <f>8255</f>
        <v>8255</v>
      </c>
      <c r="R343" s="32" t="s">
        <v>777</v>
      </c>
      <c r="S343" s="33">
        <f>8469.29</f>
        <v>8469.2900000000009</v>
      </c>
      <c r="T343" s="30">
        <f>93510</f>
        <v>93510</v>
      </c>
      <c r="U343" s="30">
        <f>89900</f>
        <v>89900</v>
      </c>
      <c r="V343" s="30">
        <f>789735777</f>
        <v>789735777</v>
      </c>
      <c r="W343" s="30">
        <f>759117092</f>
        <v>759117092</v>
      </c>
      <c r="X343" s="34">
        <f>21</f>
        <v>21</v>
      </c>
    </row>
    <row r="344" spans="1:24">
      <c r="A344" s="25" t="s">
        <v>1201</v>
      </c>
      <c r="B344" s="25" t="s">
        <v>756</v>
      </c>
      <c r="C344" s="25" t="s">
        <v>757</v>
      </c>
      <c r="D344" s="25" t="s">
        <v>758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5600</f>
        <v>5600</v>
      </c>
      <c r="L344" s="32" t="s">
        <v>1110</v>
      </c>
      <c r="M344" s="31">
        <f>5753</f>
        <v>5753</v>
      </c>
      <c r="N344" s="32" t="s">
        <v>674</v>
      </c>
      <c r="O344" s="31">
        <f>5595</f>
        <v>5595</v>
      </c>
      <c r="P344" s="32" t="s">
        <v>876</v>
      </c>
      <c r="Q344" s="31">
        <f>5643</f>
        <v>5643</v>
      </c>
      <c r="R344" s="32" t="s">
        <v>777</v>
      </c>
      <c r="S344" s="33">
        <f>5651.19</f>
        <v>5651.19</v>
      </c>
      <c r="T344" s="30">
        <f>74302</f>
        <v>74302</v>
      </c>
      <c r="U344" s="30">
        <f>39000</f>
        <v>39000</v>
      </c>
      <c r="V344" s="30">
        <f>419627923</f>
        <v>419627923</v>
      </c>
      <c r="W344" s="30">
        <f>220205200</f>
        <v>220205200</v>
      </c>
      <c r="X344" s="34">
        <f>21</f>
        <v>21</v>
      </c>
    </row>
    <row r="345" spans="1:24">
      <c r="A345" s="25" t="s">
        <v>1201</v>
      </c>
      <c r="B345" s="25" t="s">
        <v>762</v>
      </c>
      <c r="C345" s="25" t="s">
        <v>763</v>
      </c>
      <c r="D345" s="25" t="s">
        <v>764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27095</f>
        <v>27095</v>
      </c>
      <c r="L345" s="32" t="s">
        <v>1110</v>
      </c>
      <c r="M345" s="31">
        <f>27155</f>
        <v>27155</v>
      </c>
      <c r="N345" s="32" t="s">
        <v>1110</v>
      </c>
      <c r="O345" s="31">
        <f>22810</f>
        <v>22810</v>
      </c>
      <c r="P345" s="32" t="s">
        <v>674</v>
      </c>
      <c r="Q345" s="31">
        <f>26025</f>
        <v>26025</v>
      </c>
      <c r="R345" s="32" t="s">
        <v>777</v>
      </c>
      <c r="S345" s="33">
        <f>25819.29</f>
        <v>25819.29</v>
      </c>
      <c r="T345" s="30">
        <f>213955</f>
        <v>213955</v>
      </c>
      <c r="U345" s="30">
        <f>2</f>
        <v>2</v>
      </c>
      <c r="V345" s="30">
        <f>5330507245</f>
        <v>5330507245</v>
      </c>
      <c r="W345" s="30">
        <f>49610</f>
        <v>49610</v>
      </c>
      <c r="X345" s="34">
        <f>21</f>
        <v>21</v>
      </c>
    </row>
    <row r="346" spans="1:24">
      <c r="A346" s="25" t="s">
        <v>1201</v>
      </c>
      <c r="B346" s="25" t="s">
        <v>765</v>
      </c>
      <c r="C346" s="25" t="s">
        <v>766</v>
      </c>
      <c r="D346" s="25" t="s">
        <v>767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12165</f>
        <v>12165</v>
      </c>
      <c r="L346" s="32" t="s">
        <v>1110</v>
      </c>
      <c r="M346" s="31">
        <f>12650</f>
        <v>12650</v>
      </c>
      <c r="N346" s="32" t="s">
        <v>680</v>
      </c>
      <c r="O346" s="31">
        <f>10700</f>
        <v>10700</v>
      </c>
      <c r="P346" s="32" t="s">
        <v>674</v>
      </c>
      <c r="Q346" s="31">
        <f>11995</f>
        <v>11995</v>
      </c>
      <c r="R346" s="32" t="s">
        <v>777</v>
      </c>
      <c r="S346" s="33">
        <f>11867.14</f>
        <v>11867.14</v>
      </c>
      <c r="T346" s="30">
        <f>597042</f>
        <v>597042</v>
      </c>
      <c r="U346" s="30">
        <f>125006</f>
        <v>125006</v>
      </c>
      <c r="V346" s="30">
        <f>7127861461</f>
        <v>7127861461</v>
      </c>
      <c r="W346" s="30">
        <f>1512335451</f>
        <v>1512335451</v>
      </c>
      <c r="X346" s="34">
        <f>21</f>
        <v>21</v>
      </c>
    </row>
    <row r="347" spans="1:24">
      <c r="A347" s="25" t="s">
        <v>1201</v>
      </c>
      <c r="B347" s="25" t="s">
        <v>768</v>
      </c>
      <c r="C347" s="25" t="s">
        <v>769</v>
      </c>
      <c r="D347" s="25" t="s">
        <v>770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19010</f>
        <v>19010</v>
      </c>
      <c r="L347" s="32" t="s">
        <v>1110</v>
      </c>
      <c r="M347" s="31">
        <f>21640</f>
        <v>21640</v>
      </c>
      <c r="N347" s="32" t="s">
        <v>674</v>
      </c>
      <c r="O347" s="31">
        <f>18555</f>
        <v>18555</v>
      </c>
      <c r="P347" s="32" t="s">
        <v>874</v>
      </c>
      <c r="Q347" s="31">
        <f>19010</f>
        <v>19010</v>
      </c>
      <c r="R347" s="32" t="s">
        <v>777</v>
      </c>
      <c r="S347" s="33">
        <f>19396.43</f>
        <v>19396.43</v>
      </c>
      <c r="T347" s="30">
        <f>254240</f>
        <v>254240</v>
      </c>
      <c r="U347" s="30">
        <f>2</f>
        <v>2</v>
      </c>
      <c r="V347" s="30">
        <f>5078556335</f>
        <v>5078556335</v>
      </c>
      <c r="W347" s="30">
        <f>38935</f>
        <v>38935</v>
      </c>
      <c r="X347" s="34">
        <f>21</f>
        <v>21</v>
      </c>
    </row>
    <row r="348" spans="1:24">
      <c r="A348" s="25" t="s">
        <v>1201</v>
      </c>
      <c r="B348" s="25" t="s">
        <v>771</v>
      </c>
      <c r="C348" s="25" t="s">
        <v>772</v>
      </c>
      <c r="D348" s="25" t="s">
        <v>773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4138</f>
        <v>4138</v>
      </c>
      <c r="L348" s="32" t="s">
        <v>1110</v>
      </c>
      <c r="M348" s="31">
        <f>4239</f>
        <v>4239</v>
      </c>
      <c r="N348" s="32" t="s">
        <v>1124</v>
      </c>
      <c r="O348" s="31">
        <f>4100</f>
        <v>4100</v>
      </c>
      <c r="P348" s="32" t="s">
        <v>1115</v>
      </c>
      <c r="Q348" s="31">
        <f>4166</f>
        <v>4166</v>
      </c>
      <c r="R348" s="32" t="s">
        <v>1114</v>
      </c>
      <c r="S348" s="33">
        <f>4165.73</f>
        <v>4165.7299999999996</v>
      </c>
      <c r="T348" s="30">
        <f>1585130</f>
        <v>1585130</v>
      </c>
      <c r="U348" s="30">
        <f>1517440</f>
        <v>1517440</v>
      </c>
      <c r="V348" s="30">
        <f>6594136440</f>
        <v>6594136440</v>
      </c>
      <c r="W348" s="30">
        <f>6313200390</f>
        <v>6313200390</v>
      </c>
      <c r="X348" s="34">
        <f>11</f>
        <v>11</v>
      </c>
    </row>
    <row r="349" spans="1:24">
      <c r="A349" s="25" t="s">
        <v>1201</v>
      </c>
      <c r="B349" s="25" t="s">
        <v>774</v>
      </c>
      <c r="C349" s="25" t="s">
        <v>775</v>
      </c>
      <c r="D349" s="25" t="s">
        <v>776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10</v>
      </c>
      <c r="K349" s="31">
        <f>5248</f>
        <v>5248</v>
      </c>
      <c r="L349" s="32" t="s">
        <v>1110</v>
      </c>
      <c r="M349" s="31">
        <f>5286</f>
        <v>5286</v>
      </c>
      <c r="N349" s="32" t="s">
        <v>1118</v>
      </c>
      <c r="O349" s="31">
        <f>4950</f>
        <v>4950</v>
      </c>
      <c r="P349" s="32" t="s">
        <v>674</v>
      </c>
      <c r="Q349" s="31">
        <f>5255</f>
        <v>5255</v>
      </c>
      <c r="R349" s="32" t="s">
        <v>777</v>
      </c>
      <c r="S349" s="33">
        <f>5187.86</f>
        <v>5187.8599999999997</v>
      </c>
      <c r="T349" s="30">
        <f>476110</f>
        <v>476110</v>
      </c>
      <c r="U349" s="30">
        <f>413840</f>
        <v>413840</v>
      </c>
      <c r="V349" s="30">
        <f>2494743128</f>
        <v>2494743128</v>
      </c>
      <c r="W349" s="30">
        <f>2171161168</f>
        <v>2171161168</v>
      </c>
      <c r="X349" s="34">
        <f>21</f>
        <v>21</v>
      </c>
    </row>
    <row r="350" spans="1:24">
      <c r="A350" s="25" t="s">
        <v>1201</v>
      </c>
      <c r="B350" s="25" t="s">
        <v>786</v>
      </c>
      <c r="C350" s="25" t="s">
        <v>787</v>
      </c>
      <c r="D350" s="25" t="s">
        <v>788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2544</f>
        <v>2544</v>
      </c>
      <c r="L350" s="32" t="s">
        <v>1110</v>
      </c>
      <c r="M350" s="31">
        <f>2599.5</f>
        <v>2599.5</v>
      </c>
      <c r="N350" s="32" t="s">
        <v>1118</v>
      </c>
      <c r="O350" s="31">
        <f>2200</f>
        <v>2200</v>
      </c>
      <c r="P350" s="32" t="s">
        <v>1115</v>
      </c>
      <c r="Q350" s="31">
        <f>2509</f>
        <v>2509</v>
      </c>
      <c r="R350" s="32" t="s">
        <v>777</v>
      </c>
      <c r="S350" s="33">
        <f>2479.81</f>
        <v>2479.81</v>
      </c>
      <c r="T350" s="30">
        <f>4491120</f>
        <v>4491120</v>
      </c>
      <c r="U350" s="30">
        <f>1735020</f>
        <v>1735020</v>
      </c>
      <c r="V350" s="30">
        <f>11069758860</f>
        <v>11069758860</v>
      </c>
      <c r="W350" s="30">
        <f>4397017575</f>
        <v>4397017575</v>
      </c>
      <c r="X350" s="34">
        <f>21</f>
        <v>21</v>
      </c>
    </row>
    <row r="351" spans="1:24">
      <c r="A351" s="25" t="s">
        <v>1201</v>
      </c>
      <c r="B351" s="25" t="s">
        <v>789</v>
      </c>
      <c r="C351" s="25" t="s">
        <v>790</v>
      </c>
      <c r="D351" s="25" t="s">
        <v>791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2153.5</f>
        <v>2153.5</v>
      </c>
      <c r="L351" s="32" t="s">
        <v>1110</v>
      </c>
      <c r="M351" s="31">
        <f>2156.5</f>
        <v>2156.5</v>
      </c>
      <c r="N351" s="32" t="s">
        <v>1110</v>
      </c>
      <c r="O351" s="31">
        <f>2022</f>
        <v>2022</v>
      </c>
      <c r="P351" s="32" t="s">
        <v>1113</v>
      </c>
      <c r="Q351" s="31">
        <f>2155</f>
        <v>2155</v>
      </c>
      <c r="R351" s="32" t="s">
        <v>777</v>
      </c>
      <c r="S351" s="33">
        <f>2111.12</f>
        <v>2111.12</v>
      </c>
      <c r="T351" s="30">
        <f>623500</f>
        <v>623500</v>
      </c>
      <c r="U351" s="30">
        <f>400100</f>
        <v>400100</v>
      </c>
      <c r="V351" s="30">
        <f>1319041060</f>
        <v>1319041060</v>
      </c>
      <c r="W351" s="30">
        <f>850299180</f>
        <v>850299180</v>
      </c>
      <c r="X351" s="34">
        <f>21</f>
        <v>21</v>
      </c>
    </row>
    <row r="352" spans="1:24">
      <c r="A352" s="25" t="s">
        <v>1201</v>
      </c>
      <c r="B352" s="25" t="s">
        <v>792</v>
      </c>
      <c r="C352" s="25" t="s">
        <v>793</v>
      </c>
      <c r="D352" s="25" t="s">
        <v>794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1908</f>
        <v>1908</v>
      </c>
      <c r="L352" s="32" t="s">
        <v>1110</v>
      </c>
      <c r="M352" s="31">
        <f>1974</f>
        <v>1974</v>
      </c>
      <c r="N352" s="32" t="s">
        <v>1116</v>
      </c>
      <c r="O352" s="31">
        <f>1392</f>
        <v>1392</v>
      </c>
      <c r="P352" s="32" t="s">
        <v>674</v>
      </c>
      <c r="Q352" s="31">
        <f>1901</f>
        <v>1901</v>
      </c>
      <c r="R352" s="32" t="s">
        <v>777</v>
      </c>
      <c r="S352" s="33">
        <f>1822.14</f>
        <v>1822.14</v>
      </c>
      <c r="T352" s="30">
        <f>19550</f>
        <v>19550</v>
      </c>
      <c r="U352" s="30" t="str">
        <f>"－"</f>
        <v>－</v>
      </c>
      <c r="V352" s="30">
        <f>36441765</f>
        <v>36441765</v>
      </c>
      <c r="W352" s="30" t="str">
        <f>"－"</f>
        <v>－</v>
      </c>
      <c r="X352" s="34">
        <f>21</f>
        <v>21</v>
      </c>
    </row>
    <row r="353" spans="1:24">
      <c r="A353" s="25" t="s">
        <v>1201</v>
      </c>
      <c r="B353" s="25" t="s">
        <v>795</v>
      </c>
      <c r="C353" s="25" t="s">
        <v>796</v>
      </c>
      <c r="D353" s="25" t="s">
        <v>797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</v>
      </c>
      <c r="K353" s="31">
        <f>2082</f>
        <v>2082</v>
      </c>
      <c r="L353" s="32" t="s">
        <v>1110</v>
      </c>
      <c r="M353" s="31">
        <f>2368</f>
        <v>2368</v>
      </c>
      <c r="N353" s="32" t="s">
        <v>674</v>
      </c>
      <c r="O353" s="31">
        <f>1817</f>
        <v>1817</v>
      </c>
      <c r="P353" s="32" t="s">
        <v>674</v>
      </c>
      <c r="Q353" s="31">
        <f>2086</f>
        <v>2086</v>
      </c>
      <c r="R353" s="32" t="s">
        <v>777</v>
      </c>
      <c r="S353" s="33">
        <f>2008.1</f>
        <v>2008.1</v>
      </c>
      <c r="T353" s="30">
        <f>30144</f>
        <v>30144</v>
      </c>
      <c r="U353" s="30" t="str">
        <f>"－"</f>
        <v>－</v>
      </c>
      <c r="V353" s="30">
        <f>60162886</f>
        <v>60162886</v>
      </c>
      <c r="W353" s="30" t="str">
        <f>"－"</f>
        <v>－</v>
      </c>
      <c r="X353" s="34">
        <f>21</f>
        <v>21</v>
      </c>
    </row>
    <row r="354" spans="1:24">
      <c r="A354" s="25" t="s">
        <v>1201</v>
      </c>
      <c r="B354" s="25" t="s">
        <v>798</v>
      </c>
      <c r="C354" s="25" t="s">
        <v>799</v>
      </c>
      <c r="D354" s="25" t="s">
        <v>800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</v>
      </c>
      <c r="K354" s="31">
        <f>4295</f>
        <v>4295</v>
      </c>
      <c r="L354" s="32" t="s">
        <v>1110</v>
      </c>
      <c r="M354" s="31">
        <f>4480</f>
        <v>4480</v>
      </c>
      <c r="N354" s="32" t="s">
        <v>883</v>
      </c>
      <c r="O354" s="31">
        <f>3655</f>
        <v>3655</v>
      </c>
      <c r="P354" s="32" t="s">
        <v>674</v>
      </c>
      <c r="Q354" s="31">
        <f>4430</f>
        <v>4430</v>
      </c>
      <c r="R354" s="32" t="s">
        <v>777</v>
      </c>
      <c r="S354" s="33">
        <f>4239.76</f>
        <v>4239.76</v>
      </c>
      <c r="T354" s="30">
        <f>6653</f>
        <v>6653</v>
      </c>
      <c r="U354" s="30">
        <f>4</f>
        <v>4</v>
      </c>
      <c r="V354" s="30">
        <f>28022875</f>
        <v>28022875</v>
      </c>
      <c r="W354" s="30">
        <f>17370</f>
        <v>17370</v>
      </c>
      <c r="X354" s="34">
        <f>21</f>
        <v>21</v>
      </c>
    </row>
    <row r="355" spans="1:24">
      <c r="A355" s="25" t="s">
        <v>1201</v>
      </c>
      <c r="B355" s="25" t="s">
        <v>801</v>
      </c>
      <c r="C355" s="25" t="s">
        <v>802</v>
      </c>
      <c r="D355" s="25" t="s">
        <v>803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10</v>
      </c>
      <c r="K355" s="31">
        <f>2729.5</f>
        <v>2729.5</v>
      </c>
      <c r="L355" s="32" t="s">
        <v>1110</v>
      </c>
      <c r="M355" s="31">
        <f>2776</f>
        <v>2776</v>
      </c>
      <c r="N355" s="32" t="s">
        <v>777</v>
      </c>
      <c r="O355" s="31">
        <f>2371.5</f>
        <v>2371.5</v>
      </c>
      <c r="P355" s="32" t="s">
        <v>674</v>
      </c>
      <c r="Q355" s="31">
        <f>2776</f>
        <v>2776</v>
      </c>
      <c r="R355" s="32" t="s">
        <v>777</v>
      </c>
      <c r="S355" s="33">
        <f>2673.24</f>
        <v>2673.24</v>
      </c>
      <c r="T355" s="30">
        <f>36480</f>
        <v>36480</v>
      </c>
      <c r="U355" s="30" t="str">
        <f>"－"</f>
        <v>－</v>
      </c>
      <c r="V355" s="30">
        <f>91621245</f>
        <v>91621245</v>
      </c>
      <c r="W355" s="30" t="str">
        <f>"－"</f>
        <v>－</v>
      </c>
      <c r="X355" s="34">
        <f>19</f>
        <v>19</v>
      </c>
    </row>
    <row r="356" spans="1:24">
      <c r="A356" s="25" t="s">
        <v>1201</v>
      </c>
      <c r="B356" s="25" t="s">
        <v>812</v>
      </c>
      <c r="C356" s="25" t="s">
        <v>813</v>
      </c>
      <c r="D356" s="25" t="s">
        <v>814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10</v>
      </c>
      <c r="K356" s="31">
        <f>275.1</f>
        <v>275.10000000000002</v>
      </c>
      <c r="L356" s="32" t="s">
        <v>1110</v>
      </c>
      <c r="M356" s="31">
        <f>283</f>
        <v>283</v>
      </c>
      <c r="N356" s="32" t="s">
        <v>1110</v>
      </c>
      <c r="O356" s="31">
        <f>221.7</f>
        <v>221.7</v>
      </c>
      <c r="P356" s="32" t="s">
        <v>1124</v>
      </c>
      <c r="Q356" s="31">
        <f>269.8</f>
        <v>269.8</v>
      </c>
      <c r="R356" s="32" t="s">
        <v>777</v>
      </c>
      <c r="S356" s="33">
        <f>257.13</f>
        <v>257.13</v>
      </c>
      <c r="T356" s="30">
        <f>19870</f>
        <v>19870</v>
      </c>
      <c r="U356" s="30" t="str">
        <f>"－"</f>
        <v>－</v>
      </c>
      <c r="V356" s="30">
        <f>5119992</f>
        <v>5119992</v>
      </c>
      <c r="W356" s="30" t="str">
        <f>"－"</f>
        <v>－</v>
      </c>
      <c r="X356" s="34">
        <f>21</f>
        <v>21</v>
      </c>
    </row>
    <row r="357" spans="1:24">
      <c r="A357" s="25" t="s">
        <v>1201</v>
      </c>
      <c r="B357" s="25" t="s">
        <v>804</v>
      </c>
      <c r="C357" s="25" t="s">
        <v>805</v>
      </c>
      <c r="D357" s="25" t="s">
        <v>806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10</v>
      </c>
      <c r="K357" s="31">
        <f>170.5</f>
        <v>170.5</v>
      </c>
      <c r="L357" s="32" t="s">
        <v>1110</v>
      </c>
      <c r="M357" s="31">
        <f>178</f>
        <v>178</v>
      </c>
      <c r="N357" s="32" t="s">
        <v>883</v>
      </c>
      <c r="O357" s="31">
        <f>160</f>
        <v>160</v>
      </c>
      <c r="P357" s="32" t="s">
        <v>674</v>
      </c>
      <c r="Q357" s="31">
        <f>174.6</f>
        <v>174.6</v>
      </c>
      <c r="R357" s="32" t="s">
        <v>777</v>
      </c>
      <c r="S357" s="33">
        <f>171.11</f>
        <v>171.11</v>
      </c>
      <c r="T357" s="30">
        <f>1469740</f>
        <v>1469740</v>
      </c>
      <c r="U357" s="30">
        <f>1177010</f>
        <v>1177010</v>
      </c>
      <c r="V357" s="30">
        <f>249712017</f>
        <v>249712017</v>
      </c>
      <c r="W357" s="30">
        <f>199410296</f>
        <v>199410296</v>
      </c>
      <c r="X357" s="34">
        <f>21</f>
        <v>21</v>
      </c>
    </row>
    <row r="358" spans="1:24">
      <c r="A358" s="25" t="s">
        <v>1201</v>
      </c>
      <c r="B358" s="25" t="s">
        <v>807</v>
      </c>
      <c r="C358" s="25" t="s">
        <v>808</v>
      </c>
      <c r="D358" s="25" t="s">
        <v>809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673.3</f>
        <v>673.3</v>
      </c>
      <c r="L358" s="32" t="s">
        <v>1124</v>
      </c>
      <c r="M358" s="31">
        <f>679.1</f>
        <v>679.1</v>
      </c>
      <c r="N358" s="32" t="s">
        <v>1112</v>
      </c>
      <c r="O358" s="31">
        <f>673.3</f>
        <v>673.3</v>
      </c>
      <c r="P358" s="32" t="s">
        <v>1124</v>
      </c>
      <c r="Q358" s="31">
        <f>678.8</f>
        <v>678.8</v>
      </c>
      <c r="R358" s="32" t="s">
        <v>777</v>
      </c>
      <c r="S358" s="33">
        <f>677.1</f>
        <v>677.1</v>
      </c>
      <c r="T358" s="30">
        <f>26090</f>
        <v>26090</v>
      </c>
      <c r="U358" s="30">
        <f>25400</f>
        <v>25400</v>
      </c>
      <c r="V358" s="30">
        <f>17668202</f>
        <v>17668202</v>
      </c>
      <c r="W358" s="30">
        <f>17199998</f>
        <v>17199998</v>
      </c>
      <c r="X358" s="34">
        <f>5</f>
        <v>5</v>
      </c>
    </row>
    <row r="359" spans="1:24">
      <c r="A359" s="25" t="s">
        <v>1201</v>
      </c>
      <c r="B359" s="25" t="s">
        <v>815</v>
      </c>
      <c r="C359" s="25" t="s">
        <v>816</v>
      </c>
      <c r="D359" s="25" t="s">
        <v>817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</v>
      </c>
      <c r="K359" s="31">
        <f>1519</f>
        <v>1519</v>
      </c>
      <c r="L359" s="32" t="s">
        <v>1110</v>
      </c>
      <c r="M359" s="31">
        <f>1526</f>
        <v>1526</v>
      </c>
      <c r="N359" s="32" t="s">
        <v>874</v>
      </c>
      <c r="O359" s="31">
        <f>1170</f>
        <v>1170</v>
      </c>
      <c r="P359" s="32" t="s">
        <v>674</v>
      </c>
      <c r="Q359" s="31">
        <f>1523</f>
        <v>1523</v>
      </c>
      <c r="R359" s="32" t="s">
        <v>777</v>
      </c>
      <c r="S359" s="33">
        <f>1453</f>
        <v>1453</v>
      </c>
      <c r="T359" s="30">
        <f>440591</f>
        <v>440591</v>
      </c>
      <c r="U359" s="30">
        <f>341</f>
        <v>341</v>
      </c>
      <c r="V359" s="30">
        <f>613192704</f>
        <v>613192704</v>
      </c>
      <c r="W359" s="30">
        <f>495985</f>
        <v>495985</v>
      </c>
      <c r="X359" s="34">
        <f>21</f>
        <v>21</v>
      </c>
    </row>
    <row r="360" spans="1:24">
      <c r="A360" s="25" t="s">
        <v>1201</v>
      </c>
      <c r="B360" s="25" t="s">
        <v>818</v>
      </c>
      <c r="C360" s="25" t="s">
        <v>819</v>
      </c>
      <c r="D360" s="25" t="s">
        <v>820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</v>
      </c>
      <c r="K360" s="31">
        <f>884</f>
        <v>884</v>
      </c>
      <c r="L360" s="32" t="s">
        <v>1110</v>
      </c>
      <c r="M360" s="31">
        <f>932</f>
        <v>932</v>
      </c>
      <c r="N360" s="32" t="s">
        <v>883</v>
      </c>
      <c r="O360" s="31">
        <f>826</f>
        <v>826</v>
      </c>
      <c r="P360" s="32" t="s">
        <v>1124</v>
      </c>
      <c r="Q360" s="31">
        <f>912</f>
        <v>912</v>
      </c>
      <c r="R360" s="32" t="s">
        <v>777</v>
      </c>
      <c r="S360" s="33">
        <f>895.14</f>
        <v>895.14</v>
      </c>
      <c r="T360" s="30">
        <f>46639</f>
        <v>46639</v>
      </c>
      <c r="U360" s="30">
        <f>10</f>
        <v>10</v>
      </c>
      <c r="V360" s="30">
        <f>41192143</f>
        <v>41192143</v>
      </c>
      <c r="W360" s="30">
        <f>9051</f>
        <v>9051</v>
      </c>
      <c r="X360" s="34">
        <f>21</f>
        <v>21</v>
      </c>
    </row>
    <row r="361" spans="1:24">
      <c r="A361" s="25" t="s">
        <v>1201</v>
      </c>
      <c r="B361" s="25" t="s">
        <v>821</v>
      </c>
      <c r="C361" s="25" t="s">
        <v>822</v>
      </c>
      <c r="D361" s="25" t="s">
        <v>823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10</v>
      </c>
      <c r="K361" s="31">
        <f>705</f>
        <v>705</v>
      </c>
      <c r="L361" s="32" t="s">
        <v>1110</v>
      </c>
      <c r="M361" s="31">
        <f>718.6</f>
        <v>718.6</v>
      </c>
      <c r="N361" s="32" t="s">
        <v>674</v>
      </c>
      <c r="O361" s="31">
        <f>705</f>
        <v>705</v>
      </c>
      <c r="P361" s="32" t="s">
        <v>1110</v>
      </c>
      <c r="Q361" s="31">
        <f>711.6</f>
        <v>711.6</v>
      </c>
      <c r="R361" s="32" t="s">
        <v>777</v>
      </c>
      <c r="S361" s="33">
        <f>712.16</f>
        <v>712.16</v>
      </c>
      <c r="T361" s="30">
        <f>2637430</f>
        <v>2637430</v>
      </c>
      <c r="U361" s="30">
        <f>700500</f>
        <v>700500</v>
      </c>
      <c r="V361" s="30">
        <f>1876387768</f>
        <v>1876387768</v>
      </c>
      <c r="W361" s="30">
        <f>498685771</f>
        <v>498685771</v>
      </c>
      <c r="X361" s="34">
        <f>21</f>
        <v>21</v>
      </c>
    </row>
    <row r="362" spans="1:24">
      <c r="A362" s="25" t="s">
        <v>1201</v>
      </c>
      <c r="B362" s="25" t="s">
        <v>824</v>
      </c>
      <c r="C362" s="25" t="s">
        <v>825</v>
      </c>
      <c r="D362" s="25" t="s">
        <v>826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10</v>
      </c>
      <c r="K362" s="31">
        <f>690</f>
        <v>690</v>
      </c>
      <c r="L362" s="32" t="s">
        <v>1110</v>
      </c>
      <c r="M362" s="31">
        <f>699.9</f>
        <v>699.9</v>
      </c>
      <c r="N362" s="32" t="s">
        <v>674</v>
      </c>
      <c r="O362" s="31">
        <f>686.2</f>
        <v>686.2</v>
      </c>
      <c r="P362" s="32" t="s">
        <v>1114</v>
      </c>
      <c r="Q362" s="31">
        <f>690.6</f>
        <v>690.6</v>
      </c>
      <c r="R362" s="32" t="s">
        <v>777</v>
      </c>
      <c r="S362" s="33">
        <f>692.87</f>
        <v>692.87</v>
      </c>
      <c r="T362" s="30">
        <f>10338910</f>
        <v>10338910</v>
      </c>
      <c r="U362" s="30">
        <f>10318870</f>
        <v>10318870</v>
      </c>
      <c r="V362" s="30">
        <f>7178945296</f>
        <v>7178945296</v>
      </c>
      <c r="W362" s="30">
        <f>7165048094</f>
        <v>7165048094</v>
      </c>
      <c r="X362" s="34">
        <f>20</f>
        <v>20</v>
      </c>
    </row>
    <row r="363" spans="1:24">
      <c r="A363" s="25" t="s">
        <v>1201</v>
      </c>
      <c r="B363" s="25" t="s">
        <v>827</v>
      </c>
      <c r="C363" s="25" t="s">
        <v>828</v>
      </c>
      <c r="D363" s="25" t="s">
        <v>829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1201</f>
        <v>1201</v>
      </c>
      <c r="L363" s="32" t="s">
        <v>1110</v>
      </c>
      <c r="M363" s="31">
        <f>1223</f>
        <v>1223</v>
      </c>
      <c r="N363" s="32" t="s">
        <v>1116</v>
      </c>
      <c r="O363" s="31">
        <f>960</f>
        <v>960</v>
      </c>
      <c r="P363" s="32" t="s">
        <v>674</v>
      </c>
      <c r="Q363" s="31">
        <f>1139</f>
        <v>1139</v>
      </c>
      <c r="R363" s="32" t="s">
        <v>777</v>
      </c>
      <c r="S363" s="33">
        <f>1117.62</f>
        <v>1117.6199999999999</v>
      </c>
      <c r="T363" s="30">
        <f>170049</f>
        <v>170049</v>
      </c>
      <c r="U363" s="30" t="str">
        <f>"－"</f>
        <v>－</v>
      </c>
      <c r="V363" s="30">
        <f>189820944</f>
        <v>189820944</v>
      </c>
      <c r="W363" s="30" t="str">
        <f>"－"</f>
        <v>－</v>
      </c>
      <c r="X363" s="34">
        <f>21</f>
        <v>21</v>
      </c>
    </row>
    <row r="364" spans="1:24">
      <c r="A364" s="25" t="s">
        <v>1201</v>
      </c>
      <c r="B364" s="25" t="s">
        <v>836</v>
      </c>
      <c r="C364" s="25" t="s">
        <v>837</v>
      </c>
      <c r="D364" s="25" t="s">
        <v>838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10</v>
      </c>
      <c r="K364" s="31">
        <f>2570.5</f>
        <v>2570.5</v>
      </c>
      <c r="L364" s="32" t="s">
        <v>1110</v>
      </c>
      <c r="M364" s="31">
        <f>2594</f>
        <v>2594</v>
      </c>
      <c r="N364" s="32" t="s">
        <v>777</v>
      </c>
      <c r="O364" s="31">
        <f>2378</f>
        <v>2378</v>
      </c>
      <c r="P364" s="32" t="s">
        <v>674</v>
      </c>
      <c r="Q364" s="31">
        <f>2592</f>
        <v>2592</v>
      </c>
      <c r="R364" s="32" t="s">
        <v>777</v>
      </c>
      <c r="S364" s="33">
        <f>2513.24</f>
        <v>2513.2399999999998</v>
      </c>
      <c r="T364" s="30">
        <f>83530</f>
        <v>83530</v>
      </c>
      <c r="U364" s="30">
        <f>120</f>
        <v>120</v>
      </c>
      <c r="V364" s="30">
        <f>209730520</f>
        <v>209730520</v>
      </c>
      <c r="W364" s="30">
        <f>290400</f>
        <v>290400</v>
      </c>
      <c r="X364" s="34">
        <f>21</f>
        <v>21</v>
      </c>
    </row>
    <row r="365" spans="1:24">
      <c r="A365" s="25" t="s">
        <v>1201</v>
      </c>
      <c r="B365" s="25" t="s">
        <v>839</v>
      </c>
      <c r="C365" s="25" t="s">
        <v>840</v>
      </c>
      <c r="D365" s="25" t="s">
        <v>841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10</v>
      </c>
      <c r="K365" s="31">
        <f>2543.5</f>
        <v>2543.5</v>
      </c>
      <c r="L365" s="32" t="s">
        <v>1110</v>
      </c>
      <c r="M365" s="31">
        <f>2607.5</f>
        <v>2607.5</v>
      </c>
      <c r="N365" s="32" t="s">
        <v>777</v>
      </c>
      <c r="O365" s="31">
        <f>2379.5</f>
        <v>2379.5</v>
      </c>
      <c r="P365" s="32" t="s">
        <v>674</v>
      </c>
      <c r="Q365" s="31">
        <f>2587.5</f>
        <v>2587.5</v>
      </c>
      <c r="R365" s="32" t="s">
        <v>777</v>
      </c>
      <c r="S365" s="33">
        <f>2499.02</f>
        <v>2499.02</v>
      </c>
      <c r="T365" s="30">
        <f>41810</f>
        <v>41810</v>
      </c>
      <c r="U365" s="30" t="str">
        <f>"－"</f>
        <v>－</v>
      </c>
      <c r="V365" s="30">
        <f>105167770</f>
        <v>105167770</v>
      </c>
      <c r="W365" s="30" t="str">
        <f>"－"</f>
        <v>－</v>
      </c>
      <c r="X365" s="34">
        <f>21</f>
        <v>21</v>
      </c>
    </row>
    <row r="366" spans="1:24">
      <c r="A366" s="25" t="s">
        <v>1201</v>
      </c>
      <c r="B366" s="25" t="s">
        <v>830</v>
      </c>
      <c r="C366" s="25" t="s">
        <v>831</v>
      </c>
      <c r="D366" s="25" t="s">
        <v>832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10</v>
      </c>
      <c r="K366" s="31">
        <f>5310</f>
        <v>5310</v>
      </c>
      <c r="L366" s="32" t="s">
        <v>1110</v>
      </c>
      <c r="M366" s="31">
        <f>5378</f>
        <v>5378</v>
      </c>
      <c r="N366" s="32" t="s">
        <v>874</v>
      </c>
      <c r="O366" s="31">
        <f>5240</f>
        <v>5240</v>
      </c>
      <c r="P366" s="32" t="s">
        <v>1113</v>
      </c>
      <c r="Q366" s="31">
        <f>5321</f>
        <v>5321</v>
      </c>
      <c r="R366" s="32" t="s">
        <v>777</v>
      </c>
      <c r="S366" s="33">
        <f>5314.89</f>
        <v>5314.89</v>
      </c>
      <c r="T366" s="30">
        <f>120750</f>
        <v>120750</v>
      </c>
      <c r="U366" s="30">
        <f>80000</f>
        <v>80000</v>
      </c>
      <c r="V366" s="30">
        <f>636659530</f>
        <v>636659530</v>
      </c>
      <c r="W366" s="30">
        <f>422612000</f>
        <v>422612000</v>
      </c>
      <c r="X366" s="34">
        <f>9</f>
        <v>9</v>
      </c>
    </row>
    <row r="367" spans="1:24">
      <c r="A367" s="25" t="s">
        <v>1201</v>
      </c>
      <c r="B367" s="25" t="s">
        <v>833</v>
      </c>
      <c r="C367" s="25" t="s">
        <v>834</v>
      </c>
      <c r="D367" s="25" t="s">
        <v>835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10</v>
      </c>
      <c r="K367" s="31">
        <f>4266</f>
        <v>4266</v>
      </c>
      <c r="L367" s="32" t="s">
        <v>1110</v>
      </c>
      <c r="M367" s="31">
        <f>4636</f>
        <v>4636</v>
      </c>
      <c r="N367" s="32" t="s">
        <v>1124</v>
      </c>
      <c r="O367" s="31">
        <f>4230</f>
        <v>4230</v>
      </c>
      <c r="P367" s="32" t="s">
        <v>1114</v>
      </c>
      <c r="Q367" s="31">
        <f>4235</f>
        <v>4235</v>
      </c>
      <c r="R367" s="32" t="s">
        <v>777</v>
      </c>
      <c r="S367" s="33">
        <f>4250.45</f>
        <v>4250.45</v>
      </c>
      <c r="T367" s="30">
        <f>1320</f>
        <v>1320</v>
      </c>
      <c r="U367" s="30" t="str">
        <f>"－"</f>
        <v>－</v>
      </c>
      <c r="V367" s="30">
        <f>5618060</f>
        <v>5618060</v>
      </c>
      <c r="W367" s="30" t="str">
        <f>"－"</f>
        <v>－</v>
      </c>
      <c r="X367" s="34">
        <f>11</f>
        <v>11</v>
      </c>
    </row>
    <row r="368" spans="1:24">
      <c r="A368" s="25" t="s">
        <v>1201</v>
      </c>
      <c r="B368" s="25" t="s">
        <v>842</v>
      </c>
      <c r="C368" s="25" t="s">
        <v>843</v>
      </c>
      <c r="D368" s="25" t="s">
        <v>844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10</v>
      </c>
      <c r="K368" s="31">
        <f>1941</f>
        <v>1941</v>
      </c>
      <c r="L368" s="32" t="s">
        <v>1110</v>
      </c>
      <c r="M368" s="31">
        <f>1974.5</f>
        <v>1974.5</v>
      </c>
      <c r="N368" s="32" t="s">
        <v>676</v>
      </c>
      <c r="O368" s="31">
        <f>1926.5</f>
        <v>1926.5</v>
      </c>
      <c r="P368" s="32" t="s">
        <v>1113</v>
      </c>
      <c r="Q368" s="31">
        <f>1960.5</f>
        <v>1960.5</v>
      </c>
      <c r="R368" s="32" t="s">
        <v>777</v>
      </c>
      <c r="S368" s="33">
        <f>1947.22</f>
        <v>1947.22</v>
      </c>
      <c r="T368" s="30">
        <f>1650</f>
        <v>1650</v>
      </c>
      <c r="U368" s="30" t="str">
        <f>"－"</f>
        <v>－</v>
      </c>
      <c r="V368" s="30">
        <f>3207160</f>
        <v>3207160</v>
      </c>
      <c r="W368" s="30" t="str">
        <f>"－"</f>
        <v>－</v>
      </c>
      <c r="X368" s="34">
        <f>9</f>
        <v>9</v>
      </c>
    </row>
    <row r="369" spans="1:24">
      <c r="A369" s="25" t="s">
        <v>1201</v>
      </c>
      <c r="B369" s="25" t="s">
        <v>845</v>
      </c>
      <c r="C369" s="25" t="s">
        <v>846</v>
      </c>
      <c r="D369" s="25" t="s">
        <v>847</v>
      </c>
      <c r="E369" s="26" t="s">
        <v>43</v>
      </c>
      <c r="F369" s="27" t="s">
        <v>43</v>
      </c>
      <c r="G369" s="28" t="s">
        <v>43</v>
      </c>
      <c r="H369" s="29"/>
      <c r="I369" s="29" t="s">
        <v>44</v>
      </c>
      <c r="J369" s="30">
        <v>1</v>
      </c>
      <c r="K369" s="31">
        <f>1418</f>
        <v>1418</v>
      </c>
      <c r="L369" s="32" t="s">
        <v>1110</v>
      </c>
      <c r="M369" s="31">
        <f>1421</f>
        <v>1421</v>
      </c>
      <c r="N369" s="32" t="s">
        <v>1110</v>
      </c>
      <c r="O369" s="31">
        <f>1278</f>
        <v>1278</v>
      </c>
      <c r="P369" s="32" t="s">
        <v>674</v>
      </c>
      <c r="Q369" s="31">
        <f>1368</f>
        <v>1368</v>
      </c>
      <c r="R369" s="32" t="s">
        <v>777</v>
      </c>
      <c r="S369" s="33">
        <f>1355.57</f>
        <v>1355.57</v>
      </c>
      <c r="T369" s="30">
        <f>18924</f>
        <v>18924</v>
      </c>
      <c r="U369" s="30" t="str">
        <f>"－"</f>
        <v>－</v>
      </c>
      <c r="V369" s="30">
        <f>25450349</f>
        <v>25450349</v>
      </c>
      <c r="W369" s="30" t="str">
        <f>"－"</f>
        <v>－</v>
      </c>
      <c r="X369" s="34">
        <f>21</f>
        <v>21</v>
      </c>
    </row>
    <row r="370" spans="1:24">
      <c r="A370" s="25" t="s">
        <v>1201</v>
      </c>
      <c r="B370" s="25" t="s">
        <v>848</v>
      </c>
      <c r="C370" s="25" t="s">
        <v>849</v>
      </c>
      <c r="D370" s="25" t="s">
        <v>850</v>
      </c>
      <c r="E370" s="26" t="s">
        <v>43</v>
      </c>
      <c r="F370" s="27" t="s">
        <v>43</v>
      </c>
      <c r="G370" s="28" t="s">
        <v>43</v>
      </c>
      <c r="H370" s="29"/>
      <c r="I370" s="29" t="s">
        <v>44</v>
      </c>
      <c r="J370" s="30">
        <v>1</v>
      </c>
      <c r="K370" s="31">
        <f>1155</f>
        <v>1155</v>
      </c>
      <c r="L370" s="32" t="s">
        <v>1110</v>
      </c>
      <c r="M370" s="31">
        <f>1165</f>
        <v>1165</v>
      </c>
      <c r="N370" s="32" t="s">
        <v>760</v>
      </c>
      <c r="O370" s="31">
        <f>1005</f>
        <v>1005</v>
      </c>
      <c r="P370" s="32" t="s">
        <v>674</v>
      </c>
      <c r="Q370" s="31">
        <f>1132</f>
        <v>1132</v>
      </c>
      <c r="R370" s="32" t="s">
        <v>777</v>
      </c>
      <c r="S370" s="33">
        <f>1117.76</f>
        <v>1117.76</v>
      </c>
      <c r="T370" s="30">
        <f>3831084</f>
        <v>3831084</v>
      </c>
      <c r="U370" s="30">
        <f>19007</f>
        <v>19007</v>
      </c>
      <c r="V370" s="30">
        <f>4209048626</f>
        <v>4209048626</v>
      </c>
      <c r="W370" s="30">
        <f>21352900</f>
        <v>21352900</v>
      </c>
      <c r="X370" s="34">
        <f>21</f>
        <v>21</v>
      </c>
    </row>
    <row r="371" spans="1:24">
      <c r="A371" s="25" t="s">
        <v>1201</v>
      </c>
      <c r="B371" s="25" t="s">
        <v>851</v>
      </c>
      <c r="C371" s="25" t="s">
        <v>852</v>
      </c>
      <c r="D371" s="25" t="s">
        <v>853</v>
      </c>
      <c r="E371" s="26" t="s">
        <v>43</v>
      </c>
      <c r="F371" s="27" t="s">
        <v>43</v>
      </c>
      <c r="G371" s="28" t="s">
        <v>43</v>
      </c>
      <c r="H371" s="29"/>
      <c r="I371" s="29" t="s">
        <v>44</v>
      </c>
      <c r="J371" s="30">
        <v>1</v>
      </c>
      <c r="K371" s="31">
        <f>1000</f>
        <v>1000</v>
      </c>
      <c r="L371" s="32" t="s">
        <v>1110</v>
      </c>
      <c r="M371" s="31">
        <f>1005</f>
        <v>1005</v>
      </c>
      <c r="N371" s="32" t="s">
        <v>1110</v>
      </c>
      <c r="O371" s="31">
        <f>945</f>
        <v>945</v>
      </c>
      <c r="P371" s="32" t="s">
        <v>674</v>
      </c>
      <c r="Q371" s="31">
        <f>991</f>
        <v>991</v>
      </c>
      <c r="R371" s="32" t="s">
        <v>777</v>
      </c>
      <c r="S371" s="33">
        <f>979.71</f>
        <v>979.71</v>
      </c>
      <c r="T371" s="30">
        <f>1609705</f>
        <v>1609705</v>
      </c>
      <c r="U371" s="30">
        <f>50809</f>
        <v>50809</v>
      </c>
      <c r="V371" s="30">
        <f>1568215548</f>
        <v>1568215548</v>
      </c>
      <c r="W371" s="30">
        <f>50093683</f>
        <v>50093683</v>
      </c>
      <c r="X371" s="34">
        <f>21</f>
        <v>21</v>
      </c>
    </row>
    <row r="372" spans="1:24">
      <c r="A372" s="25" t="s">
        <v>1201</v>
      </c>
      <c r="B372" s="25" t="s">
        <v>858</v>
      </c>
      <c r="C372" s="25" t="s">
        <v>859</v>
      </c>
      <c r="D372" s="25" t="s">
        <v>860</v>
      </c>
      <c r="E372" s="26" t="s">
        <v>43</v>
      </c>
      <c r="F372" s="27" t="s">
        <v>43</v>
      </c>
      <c r="G372" s="28" t="s">
        <v>43</v>
      </c>
      <c r="H372" s="29"/>
      <c r="I372" s="29" t="s">
        <v>44</v>
      </c>
      <c r="J372" s="30">
        <v>1</v>
      </c>
      <c r="K372" s="31">
        <f>1112</f>
        <v>1112</v>
      </c>
      <c r="L372" s="32" t="s">
        <v>1110</v>
      </c>
      <c r="M372" s="31">
        <f>1121</f>
        <v>1121</v>
      </c>
      <c r="N372" s="32" t="s">
        <v>1110</v>
      </c>
      <c r="O372" s="31">
        <f>905</f>
        <v>905</v>
      </c>
      <c r="P372" s="32" t="s">
        <v>674</v>
      </c>
      <c r="Q372" s="31">
        <f>1030</f>
        <v>1030</v>
      </c>
      <c r="R372" s="32" t="s">
        <v>777</v>
      </c>
      <c r="S372" s="33">
        <f>1014.62</f>
        <v>1014.62</v>
      </c>
      <c r="T372" s="30">
        <f>18549</f>
        <v>18549</v>
      </c>
      <c r="U372" s="30" t="str">
        <f>"－"</f>
        <v>－</v>
      </c>
      <c r="V372" s="30">
        <f>18526009</f>
        <v>18526009</v>
      </c>
      <c r="W372" s="30" t="str">
        <f>"－"</f>
        <v>－</v>
      </c>
      <c r="X372" s="34">
        <f>21</f>
        <v>21</v>
      </c>
    </row>
    <row r="373" spans="1:24">
      <c r="A373" s="25" t="s">
        <v>1201</v>
      </c>
      <c r="B373" s="25" t="s">
        <v>861</v>
      </c>
      <c r="C373" s="25" t="s">
        <v>862</v>
      </c>
      <c r="D373" s="25" t="s">
        <v>863</v>
      </c>
      <c r="E373" s="26" t="s">
        <v>43</v>
      </c>
      <c r="F373" s="27" t="s">
        <v>43</v>
      </c>
      <c r="G373" s="28" t="s">
        <v>43</v>
      </c>
      <c r="H373" s="29"/>
      <c r="I373" s="29" t="s">
        <v>44</v>
      </c>
      <c r="J373" s="30">
        <v>1</v>
      </c>
      <c r="K373" s="31">
        <f>1054</f>
        <v>1054</v>
      </c>
      <c r="L373" s="32" t="s">
        <v>1110</v>
      </c>
      <c r="M373" s="31">
        <f>1057</f>
        <v>1057</v>
      </c>
      <c r="N373" s="32" t="s">
        <v>1110</v>
      </c>
      <c r="O373" s="31">
        <f>948</f>
        <v>948</v>
      </c>
      <c r="P373" s="32" t="s">
        <v>674</v>
      </c>
      <c r="Q373" s="31">
        <f>1035</f>
        <v>1035</v>
      </c>
      <c r="R373" s="32" t="s">
        <v>777</v>
      </c>
      <c r="S373" s="33">
        <f>1021.19</f>
        <v>1021.19</v>
      </c>
      <c r="T373" s="30">
        <f>599504</f>
        <v>599504</v>
      </c>
      <c r="U373" s="30">
        <f>19502</f>
        <v>19502</v>
      </c>
      <c r="V373" s="30">
        <f>607025537</f>
        <v>607025537</v>
      </c>
      <c r="W373" s="30">
        <f>20092884</f>
        <v>20092884</v>
      </c>
      <c r="X373" s="34">
        <f>21</f>
        <v>21</v>
      </c>
    </row>
    <row r="374" spans="1:24">
      <c r="A374" s="25" t="s">
        <v>1201</v>
      </c>
      <c r="B374" s="25" t="s">
        <v>864</v>
      </c>
      <c r="C374" s="25" t="s">
        <v>865</v>
      </c>
      <c r="D374" s="25" t="s">
        <v>950</v>
      </c>
      <c r="E374" s="26" t="s">
        <v>43</v>
      </c>
      <c r="F374" s="27" t="s">
        <v>43</v>
      </c>
      <c r="G374" s="28" t="s">
        <v>43</v>
      </c>
      <c r="H374" s="29"/>
      <c r="I374" s="29" t="s">
        <v>44</v>
      </c>
      <c r="J374" s="30">
        <v>1</v>
      </c>
      <c r="K374" s="31">
        <f>42960</f>
        <v>42960</v>
      </c>
      <c r="L374" s="32" t="s">
        <v>1110</v>
      </c>
      <c r="M374" s="31">
        <f>43970</f>
        <v>43970</v>
      </c>
      <c r="N374" s="32" t="s">
        <v>874</v>
      </c>
      <c r="O374" s="31">
        <f>33000</f>
        <v>33000</v>
      </c>
      <c r="P374" s="32" t="s">
        <v>674</v>
      </c>
      <c r="Q374" s="31">
        <f>41740</f>
        <v>41740</v>
      </c>
      <c r="R374" s="32" t="s">
        <v>777</v>
      </c>
      <c r="S374" s="33">
        <f>40734.76</f>
        <v>40734.76</v>
      </c>
      <c r="T374" s="30">
        <f>375176</f>
        <v>375176</v>
      </c>
      <c r="U374" s="30">
        <f>105</f>
        <v>105</v>
      </c>
      <c r="V374" s="30">
        <f>14884361940</f>
        <v>14884361940</v>
      </c>
      <c r="W374" s="30">
        <f>4376030</f>
        <v>4376030</v>
      </c>
      <c r="X374" s="34">
        <f>21</f>
        <v>21</v>
      </c>
    </row>
    <row r="375" spans="1:24">
      <c r="A375" s="25" t="s">
        <v>1201</v>
      </c>
      <c r="B375" s="25" t="s">
        <v>866</v>
      </c>
      <c r="C375" s="25" t="s">
        <v>867</v>
      </c>
      <c r="D375" s="25" t="s">
        <v>951</v>
      </c>
      <c r="E375" s="26" t="s">
        <v>43</v>
      </c>
      <c r="F375" s="27" t="s">
        <v>43</v>
      </c>
      <c r="G375" s="28" t="s">
        <v>43</v>
      </c>
      <c r="H375" s="29"/>
      <c r="I375" s="29" t="s">
        <v>44</v>
      </c>
      <c r="J375" s="30">
        <v>1</v>
      </c>
      <c r="K375" s="31">
        <f>20645</f>
        <v>20645</v>
      </c>
      <c r="L375" s="32" t="s">
        <v>1110</v>
      </c>
      <c r="M375" s="31">
        <f>26540</f>
        <v>26540</v>
      </c>
      <c r="N375" s="32" t="s">
        <v>674</v>
      </c>
      <c r="O375" s="31">
        <f>19795</f>
        <v>19795</v>
      </c>
      <c r="P375" s="32" t="s">
        <v>874</v>
      </c>
      <c r="Q375" s="31">
        <f>20755</f>
        <v>20755</v>
      </c>
      <c r="R375" s="32" t="s">
        <v>777</v>
      </c>
      <c r="S375" s="33">
        <f>21615.24</f>
        <v>21615.24</v>
      </c>
      <c r="T375" s="30">
        <f>494861</f>
        <v>494861</v>
      </c>
      <c r="U375" s="30">
        <f>186</f>
        <v>186</v>
      </c>
      <c r="V375" s="30">
        <f>11137147490</f>
        <v>11137147490</v>
      </c>
      <c r="W375" s="30">
        <f>4185325</f>
        <v>4185325</v>
      </c>
      <c r="X375" s="34">
        <f>21</f>
        <v>21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75BB-4C48-4D7F-8014-AC06BCC323C2}">
  <sheetPr>
    <pageSetUpPr fitToPage="1"/>
  </sheetPr>
  <dimension ref="A1:X368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1185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3026</f>
        <v>3026</v>
      </c>
      <c r="L7" s="32" t="s">
        <v>1110</v>
      </c>
      <c r="M7" s="31">
        <f>3110</f>
        <v>3110</v>
      </c>
      <c r="N7" s="32" t="s">
        <v>674</v>
      </c>
      <c r="O7" s="31">
        <f>2828</f>
        <v>2828</v>
      </c>
      <c r="P7" s="32" t="s">
        <v>676</v>
      </c>
      <c r="Q7" s="31">
        <f>2942</f>
        <v>2942</v>
      </c>
      <c r="R7" s="32" t="s">
        <v>681</v>
      </c>
      <c r="S7" s="33">
        <f>3000.61</f>
        <v>3000.61</v>
      </c>
      <c r="T7" s="30">
        <f>12704120</f>
        <v>12704120</v>
      </c>
      <c r="U7" s="30">
        <f>8080790</f>
        <v>8080790</v>
      </c>
      <c r="V7" s="30">
        <f>38088509483</f>
        <v>38088509483</v>
      </c>
      <c r="W7" s="30">
        <f>24378673768</f>
        <v>24378673768</v>
      </c>
      <c r="X7" s="34">
        <f>22</f>
        <v>22</v>
      </c>
    </row>
    <row r="8" spans="1:24">
      <c r="A8" s="25" t="s">
        <v>1185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2995</f>
        <v>2995</v>
      </c>
      <c r="L8" s="32" t="s">
        <v>1110</v>
      </c>
      <c r="M8" s="31">
        <f>3075</f>
        <v>3075</v>
      </c>
      <c r="N8" s="32" t="s">
        <v>674</v>
      </c>
      <c r="O8" s="31">
        <f>2797</f>
        <v>2797</v>
      </c>
      <c r="P8" s="32" t="s">
        <v>676</v>
      </c>
      <c r="Q8" s="31">
        <f>2900.5</f>
        <v>2900.5</v>
      </c>
      <c r="R8" s="32" t="s">
        <v>681</v>
      </c>
      <c r="S8" s="33">
        <f>2967.55</f>
        <v>2967.55</v>
      </c>
      <c r="T8" s="30">
        <f>56255270</f>
        <v>56255270</v>
      </c>
      <c r="U8" s="30">
        <f>6946050</f>
        <v>6946050</v>
      </c>
      <c r="V8" s="30">
        <f>166096046508</f>
        <v>166096046508</v>
      </c>
      <c r="W8" s="30">
        <f>20680997413</f>
        <v>20680997413</v>
      </c>
      <c r="X8" s="34">
        <f>22</f>
        <v>22</v>
      </c>
    </row>
    <row r="9" spans="1:24">
      <c r="A9" s="25" t="s">
        <v>1185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2959</f>
        <v>2959</v>
      </c>
      <c r="L9" s="32" t="s">
        <v>1110</v>
      </c>
      <c r="M9" s="31">
        <f>3035</f>
        <v>3035</v>
      </c>
      <c r="N9" s="32" t="s">
        <v>675</v>
      </c>
      <c r="O9" s="31">
        <f>2764</f>
        <v>2764</v>
      </c>
      <c r="P9" s="32" t="s">
        <v>676</v>
      </c>
      <c r="Q9" s="31">
        <f>2873</f>
        <v>2873</v>
      </c>
      <c r="R9" s="32" t="s">
        <v>681</v>
      </c>
      <c r="S9" s="33">
        <f>2929.27</f>
        <v>2929.27</v>
      </c>
      <c r="T9" s="30">
        <f>26603162</f>
        <v>26603162</v>
      </c>
      <c r="U9" s="30">
        <f>13106505</f>
        <v>13106505</v>
      </c>
      <c r="V9" s="30">
        <f>78169946780</f>
        <v>78169946780</v>
      </c>
      <c r="W9" s="30">
        <f>38683147967</f>
        <v>38683147967</v>
      </c>
      <c r="X9" s="34">
        <f>22</f>
        <v>22</v>
      </c>
    </row>
    <row r="10" spans="1:24">
      <c r="A10" s="25" t="s">
        <v>1185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41250</f>
        <v>41250</v>
      </c>
      <c r="L10" s="32" t="s">
        <v>1110</v>
      </c>
      <c r="M10" s="31">
        <f>42200</f>
        <v>42200</v>
      </c>
      <c r="N10" s="32" t="s">
        <v>874</v>
      </c>
      <c r="O10" s="31">
        <f>38900</f>
        <v>38900</v>
      </c>
      <c r="P10" s="32" t="s">
        <v>681</v>
      </c>
      <c r="Q10" s="31">
        <f>40000</f>
        <v>40000</v>
      </c>
      <c r="R10" s="32" t="s">
        <v>681</v>
      </c>
      <c r="S10" s="33">
        <f>40868.18</f>
        <v>40868.18</v>
      </c>
      <c r="T10" s="30">
        <f>2268</f>
        <v>2268</v>
      </c>
      <c r="U10" s="30" t="str">
        <f>"－"</f>
        <v>－</v>
      </c>
      <c r="V10" s="30">
        <f>92824450</f>
        <v>92824450</v>
      </c>
      <c r="W10" s="30" t="str">
        <f>"－"</f>
        <v>－</v>
      </c>
      <c r="X10" s="34">
        <f>22</f>
        <v>22</v>
      </c>
    </row>
    <row r="11" spans="1:24">
      <c r="A11" s="25" t="s">
        <v>1185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1528</f>
        <v>1528</v>
      </c>
      <c r="L11" s="32" t="s">
        <v>1110</v>
      </c>
      <c r="M11" s="31">
        <f>1633.5</f>
        <v>1633.5</v>
      </c>
      <c r="N11" s="32" t="s">
        <v>684</v>
      </c>
      <c r="O11" s="31">
        <f>1408</f>
        <v>1408</v>
      </c>
      <c r="P11" s="32" t="s">
        <v>676</v>
      </c>
      <c r="Q11" s="31">
        <f>1465</f>
        <v>1465</v>
      </c>
      <c r="R11" s="32" t="s">
        <v>681</v>
      </c>
      <c r="S11" s="33">
        <f>1522.02</f>
        <v>1522.02</v>
      </c>
      <c r="T11" s="30">
        <f>1497060</f>
        <v>1497060</v>
      </c>
      <c r="U11" s="30">
        <f>860010</f>
        <v>860010</v>
      </c>
      <c r="V11" s="30">
        <f>2288013527</f>
        <v>2288013527</v>
      </c>
      <c r="W11" s="30">
        <f>1313571402</f>
        <v>1313571402</v>
      </c>
      <c r="X11" s="34">
        <f>22</f>
        <v>22</v>
      </c>
    </row>
    <row r="12" spans="1:24">
      <c r="A12" s="25" t="s">
        <v>1185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481.9</f>
        <v>481.9</v>
      </c>
      <c r="L12" s="32" t="s">
        <v>1116</v>
      </c>
      <c r="M12" s="31">
        <f>500</f>
        <v>500</v>
      </c>
      <c r="N12" s="32" t="s">
        <v>684</v>
      </c>
      <c r="O12" s="31">
        <f>471.1</f>
        <v>471.1</v>
      </c>
      <c r="P12" s="32" t="s">
        <v>883</v>
      </c>
      <c r="Q12" s="31">
        <f>471.1</f>
        <v>471.1</v>
      </c>
      <c r="R12" s="32" t="s">
        <v>681</v>
      </c>
      <c r="S12" s="33">
        <f>484.81</f>
        <v>484.81</v>
      </c>
      <c r="T12" s="30">
        <f>120000</f>
        <v>120000</v>
      </c>
      <c r="U12" s="30">
        <f>2000</f>
        <v>2000</v>
      </c>
      <c r="V12" s="30">
        <f>58450800</f>
        <v>58450800</v>
      </c>
      <c r="W12" s="30">
        <f>977800</f>
        <v>977800</v>
      </c>
      <c r="X12" s="34">
        <f>19</f>
        <v>19</v>
      </c>
    </row>
    <row r="13" spans="1:24">
      <c r="A13" s="25" t="s">
        <v>1185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41480</f>
        <v>41480</v>
      </c>
      <c r="L13" s="32" t="s">
        <v>1110</v>
      </c>
      <c r="M13" s="31">
        <f>43570</f>
        <v>43570</v>
      </c>
      <c r="N13" s="32" t="s">
        <v>684</v>
      </c>
      <c r="O13" s="31">
        <f>38620</f>
        <v>38620</v>
      </c>
      <c r="P13" s="32" t="s">
        <v>676</v>
      </c>
      <c r="Q13" s="31">
        <f>40130</f>
        <v>40130</v>
      </c>
      <c r="R13" s="32" t="s">
        <v>681</v>
      </c>
      <c r="S13" s="33">
        <f>41337.73</f>
        <v>41337.730000000003</v>
      </c>
      <c r="T13" s="30">
        <f>1210440</f>
        <v>1210440</v>
      </c>
      <c r="U13" s="30">
        <f>189511</f>
        <v>189511</v>
      </c>
      <c r="V13" s="30">
        <f>49491759718</f>
        <v>49491759718</v>
      </c>
      <c r="W13" s="30">
        <f>7761800008</f>
        <v>7761800008</v>
      </c>
      <c r="X13" s="34">
        <f>22</f>
        <v>22</v>
      </c>
    </row>
    <row r="14" spans="1:24">
      <c r="A14" s="25" t="s">
        <v>1185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41620</f>
        <v>41620</v>
      </c>
      <c r="L14" s="32" t="s">
        <v>1110</v>
      </c>
      <c r="M14" s="31">
        <f>43710</f>
        <v>43710</v>
      </c>
      <c r="N14" s="32" t="s">
        <v>684</v>
      </c>
      <c r="O14" s="31">
        <f>38760</f>
        <v>38760</v>
      </c>
      <c r="P14" s="32" t="s">
        <v>676</v>
      </c>
      <c r="Q14" s="31">
        <f>40300</f>
        <v>40300</v>
      </c>
      <c r="R14" s="32" t="s">
        <v>681</v>
      </c>
      <c r="S14" s="33">
        <f>41417.27</f>
        <v>41417.269999999997</v>
      </c>
      <c r="T14" s="30">
        <f>9139868</f>
        <v>9139868</v>
      </c>
      <c r="U14" s="30">
        <f>518887</f>
        <v>518887</v>
      </c>
      <c r="V14" s="30">
        <f>375769784615</f>
        <v>375769784615</v>
      </c>
      <c r="W14" s="30">
        <f>21519656935</f>
        <v>21519656935</v>
      </c>
      <c r="X14" s="34">
        <f>22</f>
        <v>22</v>
      </c>
    </row>
    <row r="15" spans="1:24">
      <c r="A15" s="25" t="s">
        <v>1185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7889</f>
        <v>7889</v>
      </c>
      <c r="L15" s="32" t="s">
        <v>1110</v>
      </c>
      <c r="M15" s="31">
        <f>7979</f>
        <v>7979</v>
      </c>
      <c r="N15" s="32" t="s">
        <v>675</v>
      </c>
      <c r="O15" s="31">
        <f>7388</f>
        <v>7388</v>
      </c>
      <c r="P15" s="32" t="s">
        <v>681</v>
      </c>
      <c r="Q15" s="31">
        <f>7451</f>
        <v>7451</v>
      </c>
      <c r="R15" s="32" t="s">
        <v>681</v>
      </c>
      <c r="S15" s="33">
        <f>7759.36</f>
        <v>7759.36</v>
      </c>
      <c r="T15" s="30">
        <f>12820</f>
        <v>12820</v>
      </c>
      <c r="U15" s="30" t="str">
        <f>"－"</f>
        <v>－</v>
      </c>
      <c r="V15" s="30">
        <f>99679210</f>
        <v>99679210</v>
      </c>
      <c r="W15" s="30" t="str">
        <f>"－"</f>
        <v>－</v>
      </c>
      <c r="X15" s="34">
        <f>22</f>
        <v>22</v>
      </c>
    </row>
    <row r="16" spans="1:24">
      <c r="A16" s="25" t="s">
        <v>1185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1185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235.8</f>
        <v>235.8</v>
      </c>
      <c r="L17" s="32" t="s">
        <v>1110</v>
      </c>
      <c r="M17" s="31">
        <f>236</f>
        <v>236</v>
      </c>
      <c r="N17" s="32" t="s">
        <v>1110</v>
      </c>
      <c r="O17" s="31">
        <f>204</f>
        <v>204</v>
      </c>
      <c r="P17" s="32" t="s">
        <v>676</v>
      </c>
      <c r="Q17" s="31">
        <f>210</f>
        <v>210</v>
      </c>
      <c r="R17" s="32" t="s">
        <v>681</v>
      </c>
      <c r="S17" s="33">
        <f>220.22</f>
        <v>220.22</v>
      </c>
      <c r="T17" s="30">
        <f>1125100</f>
        <v>1125100</v>
      </c>
      <c r="U17" s="30">
        <f>11900</f>
        <v>11900</v>
      </c>
      <c r="V17" s="30">
        <f>249642530</f>
        <v>249642530</v>
      </c>
      <c r="W17" s="30">
        <f>2654500</f>
        <v>2654500</v>
      </c>
      <c r="X17" s="34">
        <f>22</f>
        <v>22</v>
      </c>
    </row>
    <row r="18" spans="1:24">
      <c r="A18" s="25" t="s">
        <v>1185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34640</f>
        <v>34640</v>
      </c>
      <c r="L18" s="32" t="s">
        <v>1110</v>
      </c>
      <c r="M18" s="31">
        <f>36430</f>
        <v>36430</v>
      </c>
      <c r="N18" s="32" t="s">
        <v>682</v>
      </c>
      <c r="O18" s="31">
        <f>33210</f>
        <v>33210</v>
      </c>
      <c r="P18" s="32" t="s">
        <v>679</v>
      </c>
      <c r="Q18" s="31">
        <f>34200</f>
        <v>34200</v>
      </c>
      <c r="R18" s="32" t="s">
        <v>681</v>
      </c>
      <c r="S18" s="33">
        <f>34924.09</f>
        <v>34924.089999999997</v>
      </c>
      <c r="T18" s="30">
        <f>261858</f>
        <v>261858</v>
      </c>
      <c r="U18" s="30">
        <f>640</f>
        <v>640</v>
      </c>
      <c r="V18" s="30">
        <f>9082975128</f>
        <v>9082975128</v>
      </c>
      <c r="W18" s="30">
        <f>23163868</f>
        <v>23163868</v>
      </c>
      <c r="X18" s="34">
        <f>22</f>
        <v>22</v>
      </c>
    </row>
    <row r="19" spans="1:24">
      <c r="A19" s="25" t="s">
        <v>1185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9148</f>
        <v>9148</v>
      </c>
      <c r="L19" s="32" t="s">
        <v>1110</v>
      </c>
      <c r="M19" s="31">
        <f>9618</f>
        <v>9618</v>
      </c>
      <c r="N19" s="32" t="s">
        <v>682</v>
      </c>
      <c r="O19" s="31">
        <f>8811</f>
        <v>8811</v>
      </c>
      <c r="P19" s="32" t="s">
        <v>679</v>
      </c>
      <c r="Q19" s="31">
        <f>9088</f>
        <v>9088</v>
      </c>
      <c r="R19" s="32" t="s">
        <v>681</v>
      </c>
      <c r="S19" s="33">
        <f>9231.59</f>
        <v>9231.59</v>
      </c>
      <c r="T19" s="30">
        <f>586120</f>
        <v>586120</v>
      </c>
      <c r="U19" s="30">
        <f>157530</f>
        <v>157530</v>
      </c>
      <c r="V19" s="30">
        <f>5434430908</f>
        <v>5434430908</v>
      </c>
      <c r="W19" s="30">
        <f>1469894668</f>
        <v>1469894668</v>
      </c>
      <c r="X19" s="34">
        <f>22</f>
        <v>22</v>
      </c>
    </row>
    <row r="20" spans="1:24">
      <c r="A20" s="25" t="s">
        <v>1185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41520</f>
        <v>41520</v>
      </c>
      <c r="L20" s="32" t="s">
        <v>1110</v>
      </c>
      <c r="M20" s="31">
        <f>44250</f>
        <v>44250</v>
      </c>
      <c r="N20" s="32" t="s">
        <v>684</v>
      </c>
      <c r="O20" s="31">
        <f>39240</f>
        <v>39240</v>
      </c>
      <c r="P20" s="32" t="s">
        <v>676</v>
      </c>
      <c r="Q20" s="31">
        <f>40830</f>
        <v>40830</v>
      </c>
      <c r="R20" s="32" t="s">
        <v>681</v>
      </c>
      <c r="S20" s="33">
        <f>41838.64</f>
        <v>41838.639999999999</v>
      </c>
      <c r="T20" s="30">
        <f>2092087</f>
        <v>2092087</v>
      </c>
      <c r="U20" s="30">
        <f>1107336</f>
        <v>1107336</v>
      </c>
      <c r="V20" s="30">
        <f>86981491129</f>
        <v>86981491129</v>
      </c>
      <c r="W20" s="30">
        <f>46419154629</f>
        <v>46419154629</v>
      </c>
      <c r="X20" s="34">
        <f>22</f>
        <v>22</v>
      </c>
    </row>
    <row r="21" spans="1:24">
      <c r="A21" s="25" t="s">
        <v>1185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41700</f>
        <v>41700</v>
      </c>
      <c r="L21" s="32" t="s">
        <v>1110</v>
      </c>
      <c r="M21" s="31">
        <f>43750</f>
        <v>43750</v>
      </c>
      <c r="N21" s="32" t="s">
        <v>684</v>
      </c>
      <c r="O21" s="31">
        <f>38800</f>
        <v>38800</v>
      </c>
      <c r="P21" s="32" t="s">
        <v>676</v>
      </c>
      <c r="Q21" s="31">
        <f>40300</f>
        <v>40300</v>
      </c>
      <c r="R21" s="32" t="s">
        <v>681</v>
      </c>
      <c r="S21" s="33">
        <f>41469.09</f>
        <v>41469.089999999997</v>
      </c>
      <c r="T21" s="30">
        <f>1691436</f>
        <v>1691436</v>
      </c>
      <c r="U21" s="30">
        <f>374098</f>
        <v>374098</v>
      </c>
      <c r="V21" s="30">
        <f>69409588314</f>
        <v>69409588314</v>
      </c>
      <c r="W21" s="30">
        <f>15514995614</f>
        <v>15514995614</v>
      </c>
      <c r="X21" s="34">
        <f>22</f>
        <v>22</v>
      </c>
    </row>
    <row r="22" spans="1:24">
      <c r="A22" s="25" t="s">
        <v>1185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1100</f>
        <v>1100</v>
      </c>
      <c r="L22" s="32" t="s">
        <v>1110</v>
      </c>
      <c r="M22" s="31">
        <f>1107</f>
        <v>1107</v>
      </c>
      <c r="N22" s="32" t="s">
        <v>1145</v>
      </c>
      <c r="O22" s="31">
        <f>1034</f>
        <v>1034</v>
      </c>
      <c r="P22" s="32" t="s">
        <v>681</v>
      </c>
      <c r="Q22" s="31">
        <f>1043</f>
        <v>1043</v>
      </c>
      <c r="R22" s="32" t="s">
        <v>681</v>
      </c>
      <c r="S22" s="33">
        <f>1079.77</f>
        <v>1079.77</v>
      </c>
      <c r="T22" s="30">
        <f>15417192</f>
        <v>15417192</v>
      </c>
      <c r="U22" s="30">
        <f>14521702</f>
        <v>14521702</v>
      </c>
      <c r="V22" s="30">
        <f>16657350533</f>
        <v>16657350533</v>
      </c>
      <c r="W22" s="30">
        <f>15693766004</f>
        <v>15693766004</v>
      </c>
      <c r="X22" s="34">
        <f>22</f>
        <v>22</v>
      </c>
    </row>
    <row r="23" spans="1:24">
      <c r="A23" s="25" t="s">
        <v>1185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1867</f>
        <v>1867</v>
      </c>
      <c r="L23" s="32" t="s">
        <v>1110</v>
      </c>
      <c r="M23" s="31">
        <f>1895</f>
        <v>1895</v>
      </c>
      <c r="N23" s="32" t="s">
        <v>678</v>
      </c>
      <c r="O23" s="31">
        <f>1836</f>
        <v>1836</v>
      </c>
      <c r="P23" s="32" t="s">
        <v>1145</v>
      </c>
      <c r="Q23" s="31">
        <f>1867</f>
        <v>1867</v>
      </c>
      <c r="R23" s="32" t="s">
        <v>681</v>
      </c>
      <c r="S23" s="33">
        <f>1858.16</f>
        <v>1858.16</v>
      </c>
      <c r="T23" s="30">
        <f>20725500</f>
        <v>20725500</v>
      </c>
      <c r="U23" s="30">
        <f>11608540</f>
        <v>11608540</v>
      </c>
      <c r="V23" s="30">
        <f>38448836005</f>
        <v>38448836005</v>
      </c>
      <c r="W23" s="30">
        <f>21528392585</f>
        <v>21528392585</v>
      </c>
      <c r="X23" s="34">
        <f>22</f>
        <v>22</v>
      </c>
    </row>
    <row r="24" spans="1:24">
      <c r="A24" s="25" t="s">
        <v>1185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1758</f>
        <v>1758</v>
      </c>
      <c r="L24" s="32" t="s">
        <v>1110</v>
      </c>
      <c r="M24" s="31">
        <f>1775</f>
        <v>1775</v>
      </c>
      <c r="N24" s="32" t="s">
        <v>678</v>
      </c>
      <c r="O24" s="31">
        <f>1720</f>
        <v>1720</v>
      </c>
      <c r="P24" s="32" t="s">
        <v>876</v>
      </c>
      <c r="Q24" s="31">
        <f>1750.5</f>
        <v>1750.5</v>
      </c>
      <c r="R24" s="32" t="s">
        <v>681</v>
      </c>
      <c r="S24" s="33">
        <f>1744.23</f>
        <v>1744.23</v>
      </c>
      <c r="T24" s="30">
        <f>3247200</f>
        <v>3247200</v>
      </c>
      <c r="U24" s="30">
        <f>1903900</f>
        <v>1903900</v>
      </c>
      <c r="V24" s="30">
        <f>5665558947</f>
        <v>5665558947</v>
      </c>
      <c r="W24" s="30">
        <f>3321810347</f>
        <v>3321810347</v>
      </c>
      <c r="X24" s="34">
        <f>22</f>
        <v>22</v>
      </c>
    </row>
    <row r="25" spans="1:24">
      <c r="A25" s="25" t="s">
        <v>1185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41450</f>
        <v>41450</v>
      </c>
      <c r="L25" s="32" t="s">
        <v>1110</v>
      </c>
      <c r="M25" s="31">
        <f>44120</f>
        <v>44120</v>
      </c>
      <c r="N25" s="32" t="s">
        <v>684</v>
      </c>
      <c r="O25" s="31">
        <f>38830</f>
        <v>38830</v>
      </c>
      <c r="P25" s="32" t="s">
        <v>676</v>
      </c>
      <c r="Q25" s="31">
        <f>40380</f>
        <v>40380</v>
      </c>
      <c r="R25" s="32" t="s">
        <v>681</v>
      </c>
      <c r="S25" s="33">
        <f>41525.91</f>
        <v>41525.910000000003</v>
      </c>
      <c r="T25" s="30">
        <f>830059</f>
        <v>830059</v>
      </c>
      <c r="U25" s="30">
        <f>187787</f>
        <v>187787</v>
      </c>
      <c r="V25" s="30">
        <f>34082603518</f>
        <v>34082603518</v>
      </c>
      <c r="W25" s="30">
        <f>7643017978</f>
        <v>7643017978</v>
      </c>
      <c r="X25" s="34">
        <f>22</f>
        <v>22</v>
      </c>
    </row>
    <row r="26" spans="1:24">
      <c r="A26" s="25" t="s">
        <v>1185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2962</f>
        <v>2962</v>
      </c>
      <c r="L26" s="32" t="s">
        <v>1110</v>
      </c>
      <c r="M26" s="31">
        <f>3081</f>
        <v>3081</v>
      </c>
      <c r="N26" s="32" t="s">
        <v>684</v>
      </c>
      <c r="O26" s="31">
        <f>2789</f>
        <v>2789</v>
      </c>
      <c r="P26" s="32" t="s">
        <v>676</v>
      </c>
      <c r="Q26" s="31">
        <f>2898.5</f>
        <v>2898.5</v>
      </c>
      <c r="R26" s="32" t="s">
        <v>681</v>
      </c>
      <c r="S26" s="33">
        <f>2958.43</f>
        <v>2958.43</v>
      </c>
      <c r="T26" s="30">
        <f>6523950</f>
        <v>6523950</v>
      </c>
      <c r="U26" s="30">
        <f>2462510</f>
        <v>2462510</v>
      </c>
      <c r="V26" s="30">
        <f>18885136182</f>
        <v>18885136182</v>
      </c>
      <c r="W26" s="30">
        <f>6968956492</f>
        <v>6968956492</v>
      </c>
      <c r="X26" s="34">
        <f>22</f>
        <v>22</v>
      </c>
    </row>
    <row r="27" spans="1:24">
      <c r="A27" s="25" t="s">
        <v>1185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17100</f>
        <v>17100</v>
      </c>
      <c r="L27" s="32" t="s">
        <v>1110</v>
      </c>
      <c r="M27" s="31">
        <f>17315</f>
        <v>17315</v>
      </c>
      <c r="N27" s="32" t="s">
        <v>684</v>
      </c>
      <c r="O27" s="31">
        <f>16020</f>
        <v>16020</v>
      </c>
      <c r="P27" s="32" t="s">
        <v>679</v>
      </c>
      <c r="Q27" s="31">
        <f>16290</f>
        <v>16290</v>
      </c>
      <c r="R27" s="32" t="s">
        <v>681</v>
      </c>
      <c r="S27" s="33">
        <f>16790.91</f>
        <v>16790.91</v>
      </c>
      <c r="T27" s="30">
        <f>875</f>
        <v>875</v>
      </c>
      <c r="U27" s="30" t="str">
        <f>"－"</f>
        <v>－</v>
      </c>
      <c r="V27" s="30">
        <f>14768090</f>
        <v>14768090</v>
      </c>
      <c r="W27" s="30" t="str">
        <f>"－"</f>
        <v>－</v>
      </c>
      <c r="X27" s="34">
        <f>22</f>
        <v>22</v>
      </c>
    </row>
    <row r="28" spans="1:24">
      <c r="A28" s="25" t="s">
        <v>1185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355.7</f>
        <v>355.7</v>
      </c>
      <c r="L28" s="32" t="s">
        <v>1110</v>
      </c>
      <c r="M28" s="31">
        <f>391.1</f>
        <v>391.1</v>
      </c>
      <c r="N28" s="32" t="s">
        <v>676</v>
      </c>
      <c r="O28" s="31">
        <f>328.4</f>
        <v>328.4</v>
      </c>
      <c r="P28" s="32" t="s">
        <v>684</v>
      </c>
      <c r="Q28" s="31">
        <f>361.9</f>
        <v>361.9</v>
      </c>
      <c r="R28" s="32" t="s">
        <v>681</v>
      </c>
      <c r="S28" s="33">
        <f>353.11</f>
        <v>353.11</v>
      </c>
      <c r="T28" s="30">
        <f>46169690</f>
        <v>46169690</v>
      </c>
      <c r="U28" s="30">
        <f>5550</f>
        <v>5550</v>
      </c>
      <c r="V28" s="30">
        <f>16348540306</f>
        <v>16348540306</v>
      </c>
      <c r="W28" s="30">
        <f>1888442</f>
        <v>1888442</v>
      </c>
      <c r="X28" s="34">
        <f>22</f>
        <v>22</v>
      </c>
    </row>
    <row r="29" spans="1:24">
      <c r="A29" s="25" t="s">
        <v>1185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137</f>
        <v>137</v>
      </c>
      <c r="L29" s="32" t="s">
        <v>1110</v>
      </c>
      <c r="M29" s="31">
        <f>153</f>
        <v>153</v>
      </c>
      <c r="N29" s="32" t="s">
        <v>676</v>
      </c>
      <c r="O29" s="31">
        <f>121</f>
        <v>121</v>
      </c>
      <c r="P29" s="32" t="s">
        <v>684</v>
      </c>
      <c r="Q29" s="31">
        <f>141</f>
        <v>141</v>
      </c>
      <c r="R29" s="32" t="s">
        <v>681</v>
      </c>
      <c r="S29" s="33">
        <f>135.5</f>
        <v>135.5</v>
      </c>
      <c r="T29" s="30">
        <f>1864229241</f>
        <v>1864229241</v>
      </c>
      <c r="U29" s="30">
        <f>33195002</f>
        <v>33195002</v>
      </c>
      <c r="V29" s="30">
        <f>257337951145</f>
        <v>257337951145</v>
      </c>
      <c r="W29" s="30">
        <f>4446251172</f>
        <v>4446251172</v>
      </c>
      <c r="X29" s="34">
        <f>22</f>
        <v>22</v>
      </c>
    </row>
    <row r="30" spans="1:24">
      <c r="A30" s="25" t="s">
        <v>1185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55300</f>
        <v>55300</v>
      </c>
      <c r="L30" s="32" t="s">
        <v>1110</v>
      </c>
      <c r="M30" s="31">
        <f>62420</f>
        <v>62420</v>
      </c>
      <c r="N30" s="32" t="s">
        <v>684</v>
      </c>
      <c r="O30" s="31">
        <f>48900</f>
        <v>48900</v>
      </c>
      <c r="P30" s="32" t="s">
        <v>676</v>
      </c>
      <c r="Q30" s="31">
        <f>52640</f>
        <v>52640</v>
      </c>
      <c r="R30" s="32" t="s">
        <v>681</v>
      </c>
      <c r="S30" s="33">
        <f>55790.91</f>
        <v>55790.91</v>
      </c>
      <c r="T30" s="30">
        <f>430442</f>
        <v>430442</v>
      </c>
      <c r="U30" s="30">
        <f>21</f>
        <v>21</v>
      </c>
      <c r="V30" s="30">
        <f>23922250730</f>
        <v>23922250730</v>
      </c>
      <c r="W30" s="30">
        <f>1256100</f>
        <v>1256100</v>
      </c>
      <c r="X30" s="34">
        <f>22</f>
        <v>22</v>
      </c>
    </row>
    <row r="31" spans="1:24">
      <c r="A31" s="25" t="s">
        <v>1185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337</f>
        <v>337</v>
      </c>
      <c r="L31" s="32" t="s">
        <v>1110</v>
      </c>
      <c r="M31" s="31">
        <f>373.6</f>
        <v>373.6</v>
      </c>
      <c r="N31" s="32" t="s">
        <v>676</v>
      </c>
      <c r="O31" s="31">
        <f>296</f>
        <v>296</v>
      </c>
      <c r="P31" s="32" t="s">
        <v>684</v>
      </c>
      <c r="Q31" s="31">
        <f>344.7</f>
        <v>344.7</v>
      </c>
      <c r="R31" s="32" t="s">
        <v>681</v>
      </c>
      <c r="S31" s="33">
        <f>331.4</f>
        <v>331.4</v>
      </c>
      <c r="T31" s="30">
        <f>853418400</f>
        <v>853418400</v>
      </c>
      <c r="U31" s="30">
        <f>9483770</f>
        <v>9483770</v>
      </c>
      <c r="V31" s="30">
        <f>284938274535</f>
        <v>284938274535</v>
      </c>
      <c r="W31" s="30">
        <f>3129569387</f>
        <v>3129569387</v>
      </c>
      <c r="X31" s="34">
        <f>22</f>
        <v>22</v>
      </c>
    </row>
    <row r="32" spans="1:24">
      <c r="A32" s="25" t="s">
        <v>1185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26720</f>
        <v>26720</v>
      </c>
      <c r="L32" s="32" t="s">
        <v>1110</v>
      </c>
      <c r="M32" s="31">
        <f>28180</f>
        <v>28180</v>
      </c>
      <c r="N32" s="32" t="s">
        <v>684</v>
      </c>
      <c r="O32" s="31">
        <f>25465</f>
        <v>25465</v>
      </c>
      <c r="P32" s="32" t="s">
        <v>676</v>
      </c>
      <c r="Q32" s="31">
        <f>26400</f>
        <v>26400</v>
      </c>
      <c r="R32" s="32" t="s">
        <v>681</v>
      </c>
      <c r="S32" s="33">
        <f>26910.68</f>
        <v>26910.68</v>
      </c>
      <c r="T32" s="30">
        <f>23507</f>
        <v>23507</v>
      </c>
      <c r="U32" s="30">
        <f>771</f>
        <v>771</v>
      </c>
      <c r="V32" s="30">
        <f>633453470</f>
        <v>633453470</v>
      </c>
      <c r="W32" s="30">
        <f>19957475</f>
        <v>19957475</v>
      </c>
      <c r="X32" s="34">
        <f>22</f>
        <v>22</v>
      </c>
    </row>
    <row r="33" spans="1:24">
      <c r="A33" s="25" t="s">
        <v>1185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45870</f>
        <v>45870</v>
      </c>
      <c r="L33" s="32" t="s">
        <v>1110</v>
      </c>
      <c r="M33" s="31">
        <f>51960</f>
        <v>51960</v>
      </c>
      <c r="N33" s="32" t="s">
        <v>684</v>
      </c>
      <c r="O33" s="31">
        <f>40630</f>
        <v>40630</v>
      </c>
      <c r="P33" s="32" t="s">
        <v>676</v>
      </c>
      <c r="Q33" s="31">
        <f>43870</f>
        <v>43870</v>
      </c>
      <c r="R33" s="32" t="s">
        <v>681</v>
      </c>
      <c r="S33" s="33">
        <f>46380.45</f>
        <v>46380.45</v>
      </c>
      <c r="T33" s="30">
        <f>1476149</f>
        <v>1476149</v>
      </c>
      <c r="U33" s="30">
        <f>18986</f>
        <v>18986</v>
      </c>
      <c r="V33" s="30">
        <f>66837559794</f>
        <v>66837559794</v>
      </c>
      <c r="W33" s="30">
        <f>870881154</f>
        <v>870881154</v>
      </c>
      <c r="X33" s="34">
        <f>22</f>
        <v>22</v>
      </c>
    </row>
    <row r="34" spans="1:24">
      <c r="A34" s="25" t="s">
        <v>1185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358</f>
        <v>358</v>
      </c>
      <c r="L34" s="32" t="s">
        <v>1110</v>
      </c>
      <c r="M34" s="31">
        <f>397</f>
        <v>397</v>
      </c>
      <c r="N34" s="32" t="s">
        <v>676</v>
      </c>
      <c r="O34" s="31">
        <f>314</f>
        <v>314</v>
      </c>
      <c r="P34" s="32" t="s">
        <v>684</v>
      </c>
      <c r="Q34" s="31">
        <f>367</f>
        <v>367</v>
      </c>
      <c r="R34" s="32" t="s">
        <v>681</v>
      </c>
      <c r="S34" s="33">
        <f>351.95</f>
        <v>351.95</v>
      </c>
      <c r="T34" s="30">
        <f>51977810</f>
        <v>51977810</v>
      </c>
      <c r="U34" s="30">
        <f>946564</f>
        <v>946564</v>
      </c>
      <c r="V34" s="30">
        <f>18560077225</f>
        <v>18560077225</v>
      </c>
      <c r="W34" s="30">
        <f>329937373</f>
        <v>329937373</v>
      </c>
      <c r="X34" s="34">
        <f>22</f>
        <v>22</v>
      </c>
    </row>
    <row r="35" spans="1:24">
      <c r="A35" s="25" t="s">
        <v>1185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40670</f>
        <v>40670</v>
      </c>
      <c r="L35" s="32" t="s">
        <v>1110</v>
      </c>
      <c r="M35" s="31">
        <f>43950</f>
        <v>43950</v>
      </c>
      <c r="N35" s="32" t="s">
        <v>684</v>
      </c>
      <c r="O35" s="31">
        <f>36650</f>
        <v>36650</v>
      </c>
      <c r="P35" s="32" t="s">
        <v>676</v>
      </c>
      <c r="Q35" s="31">
        <f>39590</f>
        <v>39590</v>
      </c>
      <c r="R35" s="32" t="s">
        <v>681</v>
      </c>
      <c r="S35" s="33">
        <f>40903.18</f>
        <v>40903.18</v>
      </c>
      <c r="T35" s="30">
        <f>190400</f>
        <v>190400</v>
      </c>
      <c r="U35" s="30">
        <f>3435</f>
        <v>3435</v>
      </c>
      <c r="V35" s="30">
        <f>7739886765</f>
        <v>7739886765</v>
      </c>
      <c r="W35" s="30">
        <f>139273515</f>
        <v>139273515</v>
      </c>
      <c r="X35" s="34">
        <f>22</f>
        <v>22</v>
      </c>
    </row>
    <row r="36" spans="1:24">
      <c r="A36" s="25" t="s">
        <v>1185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515</f>
        <v>515</v>
      </c>
      <c r="L36" s="32" t="s">
        <v>1110</v>
      </c>
      <c r="M36" s="31">
        <f>567</f>
        <v>567</v>
      </c>
      <c r="N36" s="32" t="s">
        <v>676</v>
      </c>
      <c r="O36" s="31">
        <f>476</f>
        <v>476</v>
      </c>
      <c r="P36" s="32" t="s">
        <v>684</v>
      </c>
      <c r="Q36" s="31">
        <f>523</f>
        <v>523</v>
      </c>
      <c r="R36" s="32" t="s">
        <v>681</v>
      </c>
      <c r="S36" s="33">
        <f>511.64</f>
        <v>511.64</v>
      </c>
      <c r="T36" s="30">
        <f>4063522</f>
        <v>4063522</v>
      </c>
      <c r="U36" s="30">
        <f>5826</f>
        <v>5826</v>
      </c>
      <c r="V36" s="30">
        <f>2105752967</f>
        <v>2105752967</v>
      </c>
      <c r="W36" s="30">
        <f>3007480</f>
        <v>3007480</v>
      </c>
      <c r="X36" s="34">
        <f>22</f>
        <v>22</v>
      </c>
    </row>
    <row r="37" spans="1:24">
      <c r="A37" s="25" t="s">
        <v>1185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40150</f>
        <v>40150</v>
      </c>
      <c r="L37" s="32" t="s">
        <v>1110</v>
      </c>
      <c r="M37" s="31">
        <f>42510</f>
        <v>42510</v>
      </c>
      <c r="N37" s="32" t="s">
        <v>684</v>
      </c>
      <c r="O37" s="31">
        <f>37720</f>
        <v>37720</v>
      </c>
      <c r="P37" s="32" t="s">
        <v>676</v>
      </c>
      <c r="Q37" s="31">
        <f>39180</f>
        <v>39180</v>
      </c>
      <c r="R37" s="32" t="s">
        <v>681</v>
      </c>
      <c r="S37" s="33">
        <f>40246.36</f>
        <v>40246.36</v>
      </c>
      <c r="T37" s="30">
        <f>659914</f>
        <v>659914</v>
      </c>
      <c r="U37" s="30">
        <f>547556</f>
        <v>547556</v>
      </c>
      <c r="V37" s="30">
        <f>26945729329</f>
        <v>26945729329</v>
      </c>
      <c r="W37" s="30">
        <f>22434105519</f>
        <v>22434105519</v>
      </c>
      <c r="X37" s="34">
        <f>22</f>
        <v>22</v>
      </c>
    </row>
    <row r="38" spans="1:24">
      <c r="A38" s="25" t="s">
        <v>1185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40300</f>
        <v>40300</v>
      </c>
      <c r="L38" s="32" t="s">
        <v>1110</v>
      </c>
      <c r="M38" s="31">
        <f>42890</f>
        <v>42890</v>
      </c>
      <c r="N38" s="32" t="s">
        <v>684</v>
      </c>
      <c r="O38" s="31">
        <f>38060</f>
        <v>38060</v>
      </c>
      <c r="P38" s="32" t="s">
        <v>676</v>
      </c>
      <c r="Q38" s="31">
        <f>39580</f>
        <v>39580</v>
      </c>
      <c r="R38" s="32" t="s">
        <v>681</v>
      </c>
      <c r="S38" s="33">
        <f>40578.18</f>
        <v>40578.18</v>
      </c>
      <c r="T38" s="30">
        <f>391772</f>
        <v>391772</v>
      </c>
      <c r="U38" s="30">
        <f>283893</f>
        <v>283893</v>
      </c>
      <c r="V38" s="30">
        <f>15358287554</f>
        <v>15358287554</v>
      </c>
      <c r="W38" s="30">
        <f>10999516194</f>
        <v>10999516194</v>
      </c>
      <c r="X38" s="34">
        <f>22</f>
        <v>22</v>
      </c>
    </row>
    <row r="39" spans="1:24">
      <c r="A39" s="25" t="s">
        <v>1185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1774</f>
        <v>1774</v>
      </c>
      <c r="L39" s="32" t="s">
        <v>1110</v>
      </c>
      <c r="M39" s="31">
        <f>1802</f>
        <v>1802</v>
      </c>
      <c r="N39" s="32" t="s">
        <v>678</v>
      </c>
      <c r="O39" s="31">
        <f>1747.5</f>
        <v>1747.5</v>
      </c>
      <c r="P39" s="32" t="s">
        <v>1145</v>
      </c>
      <c r="Q39" s="31">
        <f>1778.5</f>
        <v>1778.5</v>
      </c>
      <c r="R39" s="32" t="s">
        <v>681</v>
      </c>
      <c r="S39" s="33">
        <f>1768.25</f>
        <v>1768.25</v>
      </c>
      <c r="T39" s="30">
        <f>1261500</f>
        <v>1261500</v>
      </c>
      <c r="U39" s="30">
        <f>574990</f>
        <v>574990</v>
      </c>
      <c r="V39" s="30">
        <f>2225845270</f>
        <v>2225845270</v>
      </c>
      <c r="W39" s="30">
        <f>1012747250</f>
        <v>1012747250</v>
      </c>
      <c r="X39" s="34">
        <f>22</f>
        <v>22</v>
      </c>
    </row>
    <row r="40" spans="1:24">
      <c r="A40" s="25" t="s">
        <v>1185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2225.5</f>
        <v>2225.5</v>
      </c>
      <c r="L40" s="32" t="s">
        <v>1110</v>
      </c>
      <c r="M40" s="31">
        <f>2287.5</f>
        <v>2287.5</v>
      </c>
      <c r="N40" s="32" t="s">
        <v>678</v>
      </c>
      <c r="O40" s="31">
        <f>2190</f>
        <v>2190</v>
      </c>
      <c r="P40" s="32" t="s">
        <v>676</v>
      </c>
      <c r="Q40" s="31">
        <f>2218</f>
        <v>2218</v>
      </c>
      <c r="R40" s="32" t="s">
        <v>681</v>
      </c>
      <c r="S40" s="33">
        <f>2235.79</f>
        <v>2235.79</v>
      </c>
      <c r="T40" s="30">
        <f>9640</f>
        <v>9640</v>
      </c>
      <c r="U40" s="30">
        <f>20</f>
        <v>20</v>
      </c>
      <c r="V40" s="30">
        <f>21452465</f>
        <v>21452465</v>
      </c>
      <c r="W40" s="30">
        <f>44260</f>
        <v>44260</v>
      </c>
      <c r="X40" s="34">
        <f>21</f>
        <v>21</v>
      </c>
    </row>
    <row r="41" spans="1:24">
      <c r="A41" s="25" t="s">
        <v>1185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2005</f>
        <v>2005</v>
      </c>
      <c r="L41" s="32" t="s">
        <v>1110</v>
      </c>
      <c r="M41" s="31">
        <f>2014</f>
        <v>2014</v>
      </c>
      <c r="N41" s="32" t="s">
        <v>1145</v>
      </c>
      <c r="O41" s="31">
        <f>1970</f>
        <v>1970</v>
      </c>
      <c r="P41" s="32" t="s">
        <v>681</v>
      </c>
      <c r="Q41" s="31">
        <f>1975</f>
        <v>1975</v>
      </c>
      <c r="R41" s="32" t="s">
        <v>681</v>
      </c>
      <c r="S41" s="33">
        <f>1988.55</f>
        <v>1988.55</v>
      </c>
      <c r="T41" s="30">
        <f>9835</f>
        <v>9835</v>
      </c>
      <c r="U41" s="30" t="str">
        <f>"－"</f>
        <v>－</v>
      </c>
      <c r="V41" s="30">
        <f>19512217</f>
        <v>19512217</v>
      </c>
      <c r="W41" s="30" t="str">
        <f>"－"</f>
        <v>－</v>
      </c>
      <c r="X41" s="34">
        <f>22</f>
        <v>22</v>
      </c>
    </row>
    <row r="42" spans="1:24">
      <c r="A42" s="25" t="s">
        <v>1185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2601</f>
        <v>2601</v>
      </c>
      <c r="L42" s="32" t="s">
        <v>1110</v>
      </c>
      <c r="M42" s="31">
        <f>2741</f>
        <v>2741</v>
      </c>
      <c r="N42" s="32" t="s">
        <v>676</v>
      </c>
      <c r="O42" s="31">
        <f>2438</f>
        <v>2438</v>
      </c>
      <c r="P42" s="32" t="s">
        <v>684</v>
      </c>
      <c r="Q42" s="31">
        <f>2636</f>
        <v>2636</v>
      </c>
      <c r="R42" s="32" t="s">
        <v>681</v>
      </c>
      <c r="S42" s="33">
        <f>2579.18</f>
        <v>2579.1799999999998</v>
      </c>
      <c r="T42" s="30">
        <f>6615123</f>
        <v>6615123</v>
      </c>
      <c r="U42" s="30">
        <f>531430</f>
        <v>531430</v>
      </c>
      <c r="V42" s="30">
        <f>16949683874</f>
        <v>16949683874</v>
      </c>
      <c r="W42" s="30">
        <f>1322099204</f>
        <v>1322099204</v>
      </c>
      <c r="X42" s="34">
        <f>22</f>
        <v>22</v>
      </c>
    </row>
    <row r="43" spans="1:24">
      <c r="A43" s="25" t="s">
        <v>1185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3040</f>
        <v>3040</v>
      </c>
      <c r="L43" s="32" t="s">
        <v>1110</v>
      </c>
      <c r="M43" s="31">
        <f>3195</f>
        <v>3195</v>
      </c>
      <c r="N43" s="32" t="s">
        <v>676</v>
      </c>
      <c r="O43" s="31">
        <f>2929</f>
        <v>2929</v>
      </c>
      <c r="P43" s="32" t="s">
        <v>684</v>
      </c>
      <c r="Q43" s="31">
        <f>3080</f>
        <v>3080</v>
      </c>
      <c r="R43" s="32" t="s">
        <v>681</v>
      </c>
      <c r="S43" s="33">
        <f>3031.77</f>
        <v>3031.77</v>
      </c>
      <c r="T43" s="30">
        <f>1796799</f>
        <v>1796799</v>
      </c>
      <c r="U43" s="30">
        <f>671730</f>
        <v>671730</v>
      </c>
      <c r="V43" s="30">
        <f>5475400505</f>
        <v>5475400505</v>
      </c>
      <c r="W43" s="30">
        <f>2003710430</f>
        <v>2003710430</v>
      </c>
      <c r="X43" s="34">
        <f>22</f>
        <v>22</v>
      </c>
    </row>
    <row r="44" spans="1:24">
      <c r="A44" s="25" t="s">
        <v>1185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35060</f>
        <v>35060</v>
      </c>
      <c r="L44" s="32" t="s">
        <v>1110</v>
      </c>
      <c r="M44" s="31">
        <f>39720</f>
        <v>39720</v>
      </c>
      <c r="N44" s="32" t="s">
        <v>684</v>
      </c>
      <c r="O44" s="31">
        <f>31080</f>
        <v>31080</v>
      </c>
      <c r="P44" s="32" t="s">
        <v>676</v>
      </c>
      <c r="Q44" s="31">
        <f>33560</f>
        <v>33560</v>
      </c>
      <c r="R44" s="32" t="s">
        <v>681</v>
      </c>
      <c r="S44" s="33">
        <f>35479.09</f>
        <v>35479.089999999997</v>
      </c>
      <c r="T44" s="30">
        <f>7924973</f>
        <v>7924973</v>
      </c>
      <c r="U44" s="30">
        <f>135867</f>
        <v>135867</v>
      </c>
      <c r="V44" s="30">
        <f>278808309741</f>
        <v>278808309741</v>
      </c>
      <c r="W44" s="30">
        <f>4832446691</f>
        <v>4832446691</v>
      </c>
      <c r="X44" s="34">
        <f>22</f>
        <v>22</v>
      </c>
    </row>
    <row r="45" spans="1:24">
      <c r="A45" s="25" t="s">
        <v>1185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555</f>
        <v>555</v>
      </c>
      <c r="L45" s="32" t="s">
        <v>1110</v>
      </c>
      <c r="M45" s="31">
        <f>617</f>
        <v>617</v>
      </c>
      <c r="N45" s="32" t="s">
        <v>676</v>
      </c>
      <c r="O45" s="31">
        <f>488</f>
        <v>488</v>
      </c>
      <c r="P45" s="32" t="s">
        <v>684</v>
      </c>
      <c r="Q45" s="31">
        <f>569</f>
        <v>569</v>
      </c>
      <c r="R45" s="32" t="s">
        <v>681</v>
      </c>
      <c r="S45" s="33">
        <f>546.77</f>
        <v>546.77</v>
      </c>
      <c r="T45" s="30">
        <f>296864699</f>
        <v>296864699</v>
      </c>
      <c r="U45" s="30">
        <f>2710707</f>
        <v>2710707</v>
      </c>
      <c r="V45" s="30">
        <f>164124942108</f>
        <v>164124942108</v>
      </c>
      <c r="W45" s="30">
        <f>1469981256</f>
        <v>1469981256</v>
      </c>
      <c r="X45" s="34">
        <f>22</f>
        <v>22</v>
      </c>
    </row>
    <row r="46" spans="1:24">
      <c r="A46" s="25" t="s">
        <v>1185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33400</f>
        <v>33400</v>
      </c>
      <c r="L46" s="32" t="s">
        <v>1110</v>
      </c>
      <c r="M46" s="31">
        <f>36420</f>
        <v>36420</v>
      </c>
      <c r="N46" s="32" t="s">
        <v>684</v>
      </c>
      <c r="O46" s="31">
        <f>30140</f>
        <v>30140</v>
      </c>
      <c r="P46" s="32" t="s">
        <v>676</v>
      </c>
      <c r="Q46" s="31">
        <f>32520</f>
        <v>32520</v>
      </c>
      <c r="R46" s="32" t="s">
        <v>681</v>
      </c>
      <c r="S46" s="33">
        <f>33769.09</f>
        <v>33769.089999999997</v>
      </c>
      <c r="T46" s="30">
        <f>7805</f>
        <v>7805</v>
      </c>
      <c r="U46" s="30">
        <f>13</f>
        <v>13</v>
      </c>
      <c r="V46" s="30">
        <f>258308890</f>
        <v>258308890</v>
      </c>
      <c r="W46" s="30">
        <f>415800</f>
        <v>415800</v>
      </c>
      <c r="X46" s="34">
        <f>22</f>
        <v>22</v>
      </c>
    </row>
    <row r="47" spans="1:24">
      <c r="A47" s="25" t="s">
        <v>1185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2927</f>
        <v>2927</v>
      </c>
      <c r="L47" s="32" t="s">
        <v>1110</v>
      </c>
      <c r="M47" s="31">
        <f>3060</f>
        <v>3060</v>
      </c>
      <c r="N47" s="32" t="s">
        <v>676</v>
      </c>
      <c r="O47" s="31">
        <f>2698</f>
        <v>2698</v>
      </c>
      <c r="P47" s="32" t="s">
        <v>678</v>
      </c>
      <c r="Q47" s="31">
        <f>2950</f>
        <v>2950</v>
      </c>
      <c r="R47" s="32" t="s">
        <v>681</v>
      </c>
      <c r="S47" s="33">
        <f>2893.37</f>
        <v>2893.37</v>
      </c>
      <c r="T47" s="30">
        <f>8751</f>
        <v>8751</v>
      </c>
      <c r="U47" s="30" t="str">
        <f>"－"</f>
        <v>－</v>
      </c>
      <c r="V47" s="30">
        <f>25041244</f>
        <v>25041244</v>
      </c>
      <c r="W47" s="30" t="str">
        <f>"－"</f>
        <v>－</v>
      </c>
      <c r="X47" s="34">
        <f>19</f>
        <v>19</v>
      </c>
    </row>
    <row r="48" spans="1:24">
      <c r="A48" s="25" t="s">
        <v>1185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660</f>
        <v>660</v>
      </c>
      <c r="L48" s="32" t="s">
        <v>1110</v>
      </c>
      <c r="M48" s="31">
        <f>705</f>
        <v>705</v>
      </c>
      <c r="N48" s="32" t="s">
        <v>681</v>
      </c>
      <c r="O48" s="31">
        <f>591</f>
        <v>591</v>
      </c>
      <c r="P48" s="32" t="s">
        <v>684</v>
      </c>
      <c r="Q48" s="31">
        <f>671</f>
        <v>671</v>
      </c>
      <c r="R48" s="32" t="s">
        <v>681</v>
      </c>
      <c r="S48" s="33">
        <f>639.32</f>
        <v>639.32000000000005</v>
      </c>
      <c r="T48" s="30">
        <f>113234</f>
        <v>113234</v>
      </c>
      <c r="U48" s="30" t="str">
        <f>"－"</f>
        <v>－</v>
      </c>
      <c r="V48" s="30">
        <f>73505894</f>
        <v>73505894</v>
      </c>
      <c r="W48" s="30" t="str">
        <f>"－"</f>
        <v>－</v>
      </c>
      <c r="X48" s="34">
        <f>22</f>
        <v>22</v>
      </c>
    </row>
    <row r="49" spans="1:24">
      <c r="A49" s="25" t="s">
        <v>1185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632.3</f>
        <v>632.29999999999995</v>
      </c>
      <c r="L49" s="32" t="s">
        <v>1110</v>
      </c>
      <c r="M49" s="31">
        <f>681.4</f>
        <v>681.4</v>
      </c>
      <c r="N49" s="32" t="s">
        <v>676</v>
      </c>
      <c r="O49" s="31">
        <f>572</f>
        <v>572</v>
      </c>
      <c r="P49" s="32" t="s">
        <v>759</v>
      </c>
      <c r="Q49" s="31">
        <f>634</f>
        <v>634</v>
      </c>
      <c r="R49" s="32" t="s">
        <v>681</v>
      </c>
      <c r="S49" s="33">
        <f>616.57</f>
        <v>616.57000000000005</v>
      </c>
      <c r="T49" s="30">
        <f>300240</f>
        <v>300240</v>
      </c>
      <c r="U49" s="30" t="str">
        <f>"－"</f>
        <v>－</v>
      </c>
      <c r="V49" s="30">
        <f>187391364</f>
        <v>187391364</v>
      </c>
      <c r="W49" s="30" t="str">
        <f>"－"</f>
        <v>－</v>
      </c>
      <c r="X49" s="34">
        <f>22</f>
        <v>22</v>
      </c>
    </row>
    <row r="50" spans="1:24">
      <c r="A50" s="25" t="s">
        <v>1185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261</f>
        <v>261</v>
      </c>
      <c r="L50" s="32" t="s">
        <v>1110</v>
      </c>
      <c r="M50" s="31">
        <f>297</f>
        <v>297</v>
      </c>
      <c r="N50" s="32" t="s">
        <v>676</v>
      </c>
      <c r="O50" s="31">
        <f>229</f>
        <v>229</v>
      </c>
      <c r="P50" s="32" t="s">
        <v>876</v>
      </c>
      <c r="Q50" s="31">
        <f>261</f>
        <v>261</v>
      </c>
      <c r="R50" s="32" t="s">
        <v>681</v>
      </c>
      <c r="S50" s="33">
        <f>255.05</f>
        <v>255.05</v>
      </c>
      <c r="T50" s="30">
        <f>150605</f>
        <v>150605</v>
      </c>
      <c r="U50" s="30" t="str">
        <f>"－"</f>
        <v>－</v>
      </c>
      <c r="V50" s="30">
        <f>39618430</f>
        <v>39618430</v>
      </c>
      <c r="W50" s="30" t="str">
        <f>"－"</f>
        <v>－</v>
      </c>
      <c r="X50" s="34">
        <f>22</f>
        <v>22</v>
      </c>
    </row>
    <row r="51" spans="1:24">
      <c r="A51" s="25" t="s">
        <v>1185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2889</f>
        <v>2889</v>
      </c>
      <c r="L51" s="32" t="s">
        <v>1110</v>
      </c>
      <c r="M51" s="31">
        <f>2985</f>
        <v>2985</v>
      </c>
      <c r="N51" s="32" t="s">
        <v>684</v>
      </c>
      <c r="O51" s="31">
        <f>2738</f>
        <v>2738</v>
      </c>
      <c r="P51" s="32" t="s">
        <v>676</v>
      </c>
      <c r="Q51" s="31">
        <f>2837</f>
        <v>2837</v>
      </c>
      <c r="R51" s="32" t="s">
        <v>681</v>
      </c>
      <c r="S51" s="33">
        <f>2892.86</f>
        <v>2892.86</v>
      </c>
      <c r="T51" s="30">
        <f>3928040</f>
        <v>3928040</v>
      </c>
      <c r="U51" s="30">
        <f>3712290</f>
        <v>3712290</v>
      </c>
      <c r="V51" s="30">
        <f>11234967474</f>
        <v>11234967474</v>
      </c>
      <c r="W51" s="30">
        <f>10607551324</f>
        <v>10607551324</v>
      </c>
      <c r="X51" s="34">
        <f>22</f>
        <v>22</v>
      </c>
    </row>
    <row r="52" spans="1:24">
      <c r="A52" s="25" t="s">
        <v>1185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26440</f>
        <v>26440</v>
      </c>
      <c r="L52" s="32" t="s">
        <v>1110</v>
      </c>
      <c r="M52" s="31">
        <f>27310</f>
        <v>27310</v>
      </c>
      <c r="N52" s="32" t="s">
        <v>684</v>
      </c>
      <c r="O52" s="31">
        <f>24965</f>
        <v>24965</v>
      </c>
      <c r="P52" s="32" t="s">
        <v>676</v>
      </c>
      <c r="Q52" s="31">
        <f>25760</f>
        <v>25760</v>
      </c>
      <c r="R52" s="32" t="s">
        <v>681</v>
      </c>
      <c r="S52" s="33">
        <f>26367.73</f>
        <v>26367.73</v>
      </c>
      <c r="T52" s="30">
        <f>11197</f>
        <v>11197</v>
      </c>
      <c r="U52" s="30">
        <f>4500</f>
        <v>4500</v>
      </c>
      <c r="V52" s="30">
        <f>296172535</f>
        <v>296172535</v>
      </c>
      <c r="W52" s="30">
        <f>118623200</f>
        <v>118623200</v>
      </c>
      <c r="X52" s="34">
        <f>22</f>
        <v>22</v>
      </c>
    </row>
    <row r="53" spans="1:24">
      <c r="A53" s="25" t="s">
        <v>1185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2932</f>
        <v>2932</v>
      </c>
      <c r="L53" s="32" t="s">
        <v>1110</v>
      </c>
      <c r="M53" s="31">
        <f>3055</f>
        <v>3055</v>
      </c>
      <c r="N53" s="32" t="s">
        <v>684</v>
      </c>
      <c r="O53" s="31">
        <f>2792</f>
        <v>2792</v>
      </c>
      <c r="P53" s="32" t="s">
        <v>676</v>
      </c>
      <c r="Q53" s="31">
        <f>2896</f>
        <v>2896</v>
      </c>
      <c r="R53" s="32" t="s">
        <v>681</v>
      </c>
      <c r="S53" s="33">
        <f>2947.73</f>
        <v>2947.73</v>
      </c>
      <c r="T53" s="30">
        <f>25736557</f>
        <v>25736557</v>
      </c>
      <c r="U53" s="30">
        <f>10723330</f>
        <v>10723330</v>
      </c>
      <c r="V53" s="30">
        <f>75778397845</f>
        <v>75778397845</v>
      </c>
      <c r="W53" s="30">
        <f>31446310647</f>
        <v>31446310647</v>
      </c>
      <c r="X53" s="34">
        <f>22</f>
        <v>22</v>
      </c>
    </row>
    <row r="54" spans="1:24">
      <c r="A54" s="25" t="s">
        <v>1185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1790</f>
        <v>1790</v>
      </c>
      <c r="L54" s="32" t="s">
        <v>1110</v>
      </c>
      <c r="M54" s="31">
        <f>1818</f>
        <v>1818</v>
      </c>
      <c r="N54" s="32" t="s">
        <v>678</v>
      </c>
      <c r="O54" s="31">
        <f>1761</f>
        <v>1761</v>
      </c>
      <c r="P54" s="32" t="s">
        <v>876</v>
      </c>
      <c r="Q54" s="31">
        <f>1792</f>
        <v>1792</v>
      </c>
      <c r="R54" s="32" t="s">
        <v>681</v>
      </c>
      <c r="S54" s="33">
        <f>1785.05</f>
        <v>1785.05</v>
      </c>
      <c r="T54" s="30">
        <f>4035741</f>
        <v>4035741</v>
      </c>
      <c r="U54" s="30">
        <f>1619726</f>
        <v>1619726</v>
      </c>
      <c r="V54" s="30">
        <f>7179922113</f>
        <v>7179922113</v>
      </c>
      <c r="W54" s="30">
        <f>2875719900</f>
        <v>2875719900</v>
      </c>
      <c r="X54" s="34">
        <f>22</f>
        <v>22</v>
      </c>
    </row>
    <row r="55" spans="1:24">
      <c r="A55" s="25" t="s">
        <v>1185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2619</f>
        <v>2619</v>
      </c>
      <c r="L55" s="32" t="s">
        <v>1110</v>
      </c>
      <c r="M55" s="31">
        <f>2708</f>
        <v>2708</v>
      </c>
      <c r="N55" s="32" t="s">
        <v>677</v>
      </c>
      <c r="O55" s="31">
        <f>2561</f>
        <v>2561</v>
      </c>
      <c r="P55" s="32" t="s">
        <v>676</v>
      </c>
      <c r="Q55" s="31">
        <f>2637</f>
        <v>2637</v>
      </c>
      <c r="R55" s="32" t="s">
        <v>681</v>
      </c>
      <c r="S55" s="33">
        <f>2643.95</f>
        <v>2643.95</v>
      </c>
      <c r="T55" s="30">
        <f>188428</f>
        <v>188428</v>
      </c>
      <c r="U55" s="30">
        <f>163047</f>
        <v>163047</v>
      </c>
      <c r="V55" s="30">
        <f>488179533</f>
        <v>488179533</v>
      </c>
      <c r="W55" s="30">
        <f>420620209</f>
        <v>420620209</v>
      </c>
      <c r="X55" s="34">
        <f>22</f>
        <v>22</v>
      </c>
    </row>
    <row r="56" spans="1:24">
      <c r="A56" s="25" t="s">
        <v>1185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3780</f>
        <v>3780</v>
      </c>
      <c r="L56" s="32" t="s">
        <v>1110</v>
      </c>
      <c r="M56" s="31">
        <f>3925</f>
        <v>3925</v>
      </c>
      <c r="N56" s="32" t="s">
        <v>684</v>
      </c>
      <c r="O56" s="31">
        <f>3665</f>
        <v>3665</v>
      </c>
      <c r="P56" s="32" t="s">
        <v>676</v>
      </c>
      <c r="Q56" s="31">
        <f>3775</f>
        <v>3775</v>
      </c>
      <c r="R56" s="32" t="s">
        <v>681</v>
      </c>
      <c r="S56" s="33">
        <f>3828.86</f>
        <v>3828.86</v>
      </c>
      <c r="T56" s="30">
        <f>1474766</f>
        <v>1474766</v>
      </c>
      <c r="U56" s="30">
        <f>596638</f>
        <v>596638</v>
      </c>
      <c r="V56" s="30">
        <f>5608000670</f>
        <v>5608000670</v>
      </c>
      <c r="W56" s="30">
        <f>2261661965</f>
        <v>2261661965</v>
      </c>
      <c r="X56" s="34">
        <f>22</f>
        <v>22</v>
      </c>
    </row>
    <row r="57" spans="1:24">
      <c r="A57" s="25" t="s">
        <v>1185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36820</f>
        <v>36820</v>
      </c>
      <c r="L57" s="32" t="s">
        <v>1110</v>
      </c>
      <c r="M57" s="31">
        <f>38760</f>
        <v>38760</v>
      </c>
      <c r="N57" s="32" t="s">
        <v>1145</v>
      </c>
      <c r="O57" s="31">
        <f>35200</f>
        <v>35200</v>
      </c>
      <c r="P57" s="32" t="s">
        <v>679</v>
      </c>
      <c r="Q57" s="31">
        <f>36160</f>
        <v>36160</v>
      </c>
      <c r="R57" s="32" t="s">
        <v>681</v>
      </c>
      <c r="S57" s="33">
        <f>37293.08</f>
        <v>37293.08</v>
      </c>
      <c r="T57" s="30">
        <f>274</f>
        <v>274</v>
      </c>
      <c r="U57" s="30" t="str">
        <f>"－"</f>
        <v>－</v>
      </c>
      <c r="V57" s="30">
        <f>10068420</f>
        <v>10068420</v>
      </c>
      <c r="W57" s="30" t="str">
        <f>"－"</f>
        <v>－</v>
      </c>
      <c r="X57" s="34">
        <f>13</f>
        <v>13</v>
      </c>
    </row>
    <row r="58" spans="1:24">
      <c r="A58" s="25" t="s">
        <v>1185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28360</f>
        <v>28360</v>
      </c>
      <c r="L58" s="32" t="s">
        <v>1110</v>
      </c>
      <c r="M58" s="31">
        <f>29200</f>
        <v>29200</v>
      </c>
      <c r="N58" s="32" t="s">
        <v>876</v>
      </c>
      <c r="O58" s="31">
        <f>27150</f>
        <v>27150</v>
      </c>
      <c r="P58" s="32" t="s">
        <v>679</v>
      </c>
      <c r="Q58" s="31">
        <f>27490</f>
        <v>27490</v>
      </c>
      <c r="R58" s="32" t="s">
        <v>681</v>
      </c>
      <c r="S58" s="33">
        <f>28443.5</f>
        <v>28443.5</v>
      </c>
      <c r="T58" s="30">
        <f>805</f>
        <v>805</v>
      </c>
      <c r="U58" s="30" t="str">
        <f>"－"</f>
        <v>－</v>
      </c>
      <c r="V58" s="30">
        <f>23152775</f>
        <v>23152775</v>
      </c>
      <c r="W58" s="30" t="str">
        <f>"－"</f>
        <v>－</v>
      </c>
      <c r="X58" s="34">
        <f>10</f>
        <v>10</v>
      </c>
    </row>
    <row r="59" spans="1:24">
      <c r="A59" s="25" t="s">
        <v>1185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2951</f>
        <v>2951</v>
      </c>
      <c r="L59" s="32" t="s">
        <v>1110</v>
      </c>
      <c r="M59" s="31">
        <f>3435</f>
        <v>3435</v>
      </c>
      <c r="N59" s="32" t="s">
        <v>760</v>
      </c>
      <c r="O59" s="31">
        <f>2857</f>
        <v>2857</v>
      </c>
      <c r="P59" s="32" t="s">
        <v>676</v>
      </c>
      <c r="Q59" s="31">
        <f>2985</f>
        <v>2985</v>
      </c>
      <c r="R59" s="32" t="s">
        <v>681</v>
      </c>
      <c r="S59" s="33">
        <f>3060.91</f>
        <v>3060.91</v>
      </c>
      <c r="T59" s="30">
        <f>11300</f>
        <v>11300</v>
      </c>
      <c r="U59" s="30">
        <f>5</f>
        <v>5</v>
      </c>
      <c r="V59" s="30">
        <f>35255509</f>
        <v>35255509</v>
      </c>
      <c r="W59" s="30">
        <f>15227</f>
        <v>15227</v>
      </c>
      <c r="X59" s="34">
        <f>22</f>
        <v>22</v>
      </c>
    </row>
    <row r="60" spans="1:24">
      <c r="A60" s="25" t="s">
        <v>1185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1714</f>
        <v>1714</v>
      </c>
      <c r="L60" s="32" t="s">
        <v>1110</v>
      </c>
      <c r="M60" s="31">
        <f>1728</f>
        <v>1728</v>
      </c>
      <c r="N60" s="32" t="s">
        <v>677</v>
      </c>
      <c r="O60" s="31">
        <f>1699</f>
        <v>1699</v>
      </c>
      <c r="P60" s="32" t="s">
        <v>1116</v>
      </c>
      <c r="Q60" s="31">
        <f>1726</f>
        <v>1726</v>
      </c>
      <c r="R60" s="32" t="s">
        <v>681</v>
      </c>
      <c r="S60" s="33">
        <f>1714.82</f>
        <v>1714.82</v>
      </c>
      <c r="T60" s="30">
        <f>9480195</f>
        <v>9480195</v>
      </c>
      <c r="U60" s="30">
        <f>7246615</f>
        <v>7246615</v>
      </c>
      <c r="V60" s="30">
        <f>16255696162</f>
        <v>16255696162</v>
      </c>
      <c r="W60" s="30">
        <f>12425314759</f>
        <v>12425314759</v>
      </c>
      <c r="X60" s="34">
        <f>22</f>
        <v>22</v>
      </c>
    </row>
    <row r="61" spans="1:24">
      <c r="A61" s="25" t="s">
        <v>1185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2899</f>
        <v>2899</v>
      </c>
      <c r="L61" s="32" t="s">
        <v>1110</v>
      </c>
      <c r="M61" s="31">
        <f>3090</f>
        <v>3090</v>
      </c>
      <c r="N61" s="32" t="s">
        <v>684</v>
      </c>
      <c r="O61" s="31">
        <f>2801</f>
        <v>2801</v>
      </c>
      <c r="P61" s="32" t="s">
        <v>679</v>
      </c>
      <c r="Q61" s="31">
        <f>2925</f>
        <v>2925</v>
      </c>
      <c r="R61" s="32" t="s">
        <v>681</v>
      </c>
      <c r="S61" s="33">
        <f>2970.77</f>
        <v>2970.77</v>
      </c>
      <c r="T61" s="30">
        <f>2389</f>
        <v>2389</v>
      </c>
      <c r="U61" s="30" t="str">
        <f>"－"</f>
        <v>－</v>
      </c>
      <c r="V61" s="30">
        <f>7155361</f>
        <v>7155361</v>
      </c>
      <c r="W61" s="30" t="str">
        <f>"－"</f>
        <v>－</v>
      </c>
      <c r="X61" s="34">
        <f>22</f>
        <v>22</v>
      </c>
    </row>
    <row r="62" spans="1:24">
      <c r="A62" s="25" t="s">
        <v>1185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2942</f>
        <v>2942</v>
      </c>
      <c r="L62" s="32" t="s">
        <v>1110</v>
      </c>
      <c r="M62" s="31">
        <f>3022</f>
        <v>3022</v>
      </c>
      <c r="N62" s="32" t="s">
        <v>684</v>
      </c>
      <c r="O62" s="31">
        <f>2819.5</f>
        <v>2819.5</v>
      </c>
      <c r="P62" s="32" t="s">
        <v>679</v>
      </c>
      <c r="Q62" s="31">
        <f>2889</f>
        <v>2889</v>
      </c>
      <c r="R62" s="32" t="s">
        <v>681</v>
      </c>
      <c r="S62" s="33">
        <f>2940.73</f>
        <v>2940.73</v>
      </c>
      <c r="T62" s="30">
        <f>8580</f>
        <v>8580</v>
      </c>
      <c r="U62" s="30" t="str">
        <f>"－"</f>
        <v>－</v>
      </c>
      <c r="V62" s="30">
        <f>25257850</f>
        <v>25257850</v>
      </c>
      <c r="W62" s="30" t="str">
        <f>"－"</f>
        <v>－</v>
      </c>
      <c r="X62" s="34">
        <f>22</f>
        <v>22</v>
      </c>
    </row>
    <row r="63" spans="1:24">
      <c r="A63" s="25" t="s">
        <v>1185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42460</f>
        <v>42460</v>
      </c>
      <c r="L63" s="32" t="s">
        <v>677</v>
      </c>
      <c r="M63" s="31">
        <f>42680</f>
        <v>42680</v>
      </c>
      <c r="N63" s="32" t="s">
        <v>760</v>
      </c>
      <c r="O63" s="31">
        <f>41460</f>
        <v>41460</v>
      </c>
      <c r="P63" s="32" t="s">
        <v>874</v>
      </c>
      <c r="Q63" s="31">
        <f>41460</f>
        <v>41460</v>
      </c>
      <c r="R63" s="32" t="s">
        <v>874</v>
      </c>
      <c r="S63" s="33">
        <f>42145</f>
        <v>42145</v>
      </c>
      <c r="T63" s="30">
        <f>41</f>
        <v>41</v>
      </c>
      <c r="U63" s="30" t="str">
        <f>"－"</f>
        <v>－</v>
      </c>
      <c r="V63" s="30">
        <f>1723410</f>
        <v>1723410</v>
      </c>
      <c r="W63" s="30" t="str">
        <f>"－"</f>
        <v>－</v>
      </c>
      <c r="X63" s="34">
        <f>4</f>
        <v>4</v>
      </c>
    </row>
    <row r="64" spans="1:24">
      <c r="A64" s="25" t="s">
        <v>1185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25100</f>
        <v>25100</v>
      </c>
      <c r="L64" s="32" t="s">
        <v>1110</v>
      </c>
      <c r="M64" s="31">
        <f>25585</f>
        <v>25585</v>
      </c>
      <c r="N64" s="32" t="s">
        <v>1113</v>
      </c>
      <c r="O64" s="31">
        <f>23000</f>
        <v>23000</v>
      </c>
      <c r="P64" s="32" t="s">
        <v>681</v>
      </c>
      <c r="Q64" s="31">
        <f>23875</f>
        <v>23875</v>
      </c>
      <c r="R64" s="32" t="s">
        <v>681</v>
      </c>
      <c r="S64" s="33">
        <f>24523.41</f>
        <v>24523.41</v>
      </c>
      <c r="T64" s="30">
        <f>75977</f>
        <v>75977</v>
      </c>
      <c r="U64" s="30">
        <f>39500</f>
        <v>39500</v>
      </c>
      <c r="V64" s="30">
        <f>1865334023</f>
        <v>1865334023</v>
      </c>
      <c r="W64" s="30">
        <f>967913348</f>
        <v>967913348</v>
      </c>
      <c r="X64" s="34">
        <f>22</f>
        <v>22</v>
      </c>
    </row>
    <row r="65" spans="1:24">
      <c r="A65" s="25" t="s">
        <v>1185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13240</f>
        <v>13240</v>
      </c>
      <c r="L65" s="32" t="s">
        <v>1110</v>
      </c>
      <c r="M65" s="31">
        <f>13305</f>
        <v>13305</v>
      </c>
      <c r="N65" s="32" t="s">
        <v>1113</v>
      </c>
      <c r="O65" s="31">
        <f>13025</f>
        <v>13025</v>
      </c>
      <c r="P65" s="32" t="s">
        <v>679</v>
      </c>
      <c r="Q65" s="31">
        <f>13265</f>
        <v>13265</v>
      </c>
      <c r="R65" s="32" t="s">
        <v>681</v>
      </c>
      <c r="S65" s="33">
        <f>13187.95</f>
        <v>13187.95</v>
      </c>
      <c r="T65" s="30">
        <f>87935</f>
        <v>87935</v>
      </c>
      <c r="U65" s="30">
        <f>41993</f>
        <v>41993</v>
      </c>
      <c r="V65" s="30">
        <f>1161552368</f>
        <v>1161552368</v>
      </c>
      <c r="W65" s="30">
        <f>555002043</f>
        <v>555002043</v>
      </c>
      <c r="X65" s="34">
        <f>22</f>
        <v>22</v>
      </c>
    </row>
    <row r="66" spans="1:24">
      <c r="A66" s="25" t="s">
        <v>1185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1789</f>
        <v>1789</v>
      </c>
      <c r="L66" s="32" t="s">
        <v>1110</v>
      </c>
      <c r="M66" s="31">
        <f>1813</f>
        <v>1813</v>
      </c>
      <c r="N66" s="32" t="s">
        <v>678</v>
      </c>
      <c r="O66" s="31">
        <f>1757</f>
        <v>1757</v>
      </c>
      <c r="P66" s="32" t="s">
        <v>1145</v>
      </c>
      <c r="Q66" s="31">
        <f>1800</f>
        <v>1800</v>
      </c>
      <c r="R66" s="32" t="s">
        <v>681</v>
      </c>
      <c r="S66" s="33">
        <f>1779.18</f>
        <v>1779.18</v>
      </c>
      <c r="T66" s="30">
        <f>1956464</f>
        <v>1956464</v>
      </c>
      <c r="U66" s="30">
        <f>798180</f>
        <v>798180</v>
      </c>
      <c r="V66" s="30">
        <f>3485575136</f>
        <v>3485575136</v>
      </c>
      <c r="W66" s="30">
        <f>1424632748</f>
        <v>1424632748</v>
      </c>
      <c r="X66" s="34">
        <f>22</f>
        <v>22</v>
      </c>
    </row>
    <row r="67" spans="1:24">
      <c r="A67" s="25" t="s">
        <v>1185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2422</f>
        <v>2422</v>
      </c>
      <c r="L67" s="32" t="s">
        <v>1110</v>
      </c>
      <c r="M67" s="31">
        <f>2495</f>
        <v>2495</v>
      </c>
      <c r="N67" s="32" t="s">
        <v>675</v>
      </c>
      <c r="O67" s="31">
        <f>2306</f>
        <v>2306</v>
      </c>
      <c r="P67" s="32" t="s">
        <v>676</v>
      </c>
      <c r="Q67" s="31">
        <f>2395</f>
        <v>2395</v>
      </c>
      <c r="R67" s="32" t="s">
        <v>681</v>
      </c>
      <c r="S67" s="33">
        <f>2423.55</f>
        <v>2423.5500000000002</v>
      </c>
      <c r="T67" s="30">
        <f>15835523</f>
        <v>15835523</v>
      </c>
      <c r="U67" s="30">
        <f>2167610</f>
        <v>2167610</v>
      </c>
      <c r="V67" s="30">
        <f>38235288675</f>
        <v>38235288675</v>
      </c>
      <c r="W67" s="30">
        <f>5226734687</f>
        <v>5226734687</v>
      </c>
      <c r="X67" s="34">
        <f>22</f>
        <v>22</v>
      </c>
    </row>
    <row r="68" spans="1:24">
      <c r="A68" s="25" t="s">
        <v>1185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7450</f>
        <v>7450</v>
      </c>
      <c r="L68" s="32" t="s">
        <v>677</v>
      </c>
      <c r="M68" s="31">
        <f>7556</f>
        <v>7556</v>
      </c>
      <c r="N68" s="32" t="s">
        <v>676</v>
      </c>
      <c r="O68" s="31">
        <f>7417</f>
        <v>7417</v>
      </c>
      <c r="P68" s="32" t="s">
        <v>677</v>
      </c>
      <c r="Q68" s="31">
        <f>7556</f>
        <v>7556</v>
      </c>
      <c r="R68" s="32" t="s">
        <v>676</v>
      </c>
      <c r="S68" s="33">
        <f>7473.75</f>
        <v>7473.75</v>
      </c>
      <c r="T68" s="30">
        <f>6770</f>
        <v>6770</v>
      </c>
      <c r="U68" s="30">
        <f>5680</f>
        <v>5680</v>
      </c>
      <c r="V68" s="30">
        <f>50170102</f>
        <v>50170102</v>
      </c>
      <c r="W68" s="30">
        <f>42069902</f>
        <v>42069902</v>
      </c>
      <c r="X68" s="34">
        <f>4</f>
        <v>4</v>
      </c>
    </row>
    <row r="69" spans="1:24">
      <c r="A69" s="25" t="s">
        <v>1185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20505</f>
        <v>20505</v>
      </c>
      <c r="L69" s="32" t="s">
        <v>1110</v>
      </c>
      <c r="M69" s="31">
        <f>20540</f>
        <v>20540</v>
      </c>
      <c r="N69" s="32" t="s">
        <v>675</v>
      </c>
      <c r="O69" s="31">
        <f>19110</f>
        <v>19110</v>
      </c>
      <c r="P69" s="32" t="s">
        <v>676</v>
      </c>
      <c r="Q69" s="31">
        <f>19590</f>
        <v>19590</v>
      </c>
      <c r="R69" s="32" t="s">
        <v>681</v>
      </c>
      <c r="S69" s="33">
        <f>19960.23</f>
        <v>19960.23</v>
      </c>
      <c r="T69" s="30">
        <f>8977</f>
        <v>8977</v>
      </c>
      <c r="U69" s="30" t="str">
        <f>"－"</f>
        <v>－</v>
      </c>
      <c r="V69" s="30">
        <f>179098625</f>
        <v>179098625</v>
      </c>
      <c r="W69" s="30" t="str">
        <f>"－"</f>
        <v>－</v>
      </c>
      <c r="X69" s="34">
        <f>22</f>
        <v>22</v>
      </c>
    </row>
    <row r="70" spans="1:24">
      <c r="A70" s="25" t="s">
        <v>1185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31700</f>
        <v>31700</v>
      </c>
      <c r="L70" s="32" t="s">
        <v>1110</v>
      </c>
      <c r="M70" s="31">
        <f>32580</f>
        <v>32580</v>
      </c>
      <c r="N70" s="32" t="s">
        <v>679</v>
      </c>
      <c r="O70" s="31">
        <f>30580</f>
        <v>30580</v>
      </c>
      <c r="P70" s="32" t="s">
        <v>676</v>
      </c>
      <c r="Q70" s="31">
        <f>31880</f>
        <v>31880</v>
      </c>
      <c r="R70" s="32" t="s">
        <v>681</v>
      </c>
      <c r="S70" s="33">
        <f>31822.73</f>
        <v>31822.73</v>
      </c>
      <c r="T70" s="30">
        <f>46021</f>
        <v>46021</v>
      </c>
      <c r="U70" s="30">
        <f>27011</f>
        <v>27011</v>
      </c>
      <c r="V70" s="30">
        <f>1441032374</f>
        <v>1441032374</v>
      </c>
      <c r="W70" s="30">
        <f>841231614</f>
        <v>841231614</v>
      </c>
      <c r="X70" s="34">
        <f>22</f>
        <v>22</v>
      </c>
    </row>
    <row r="71" spans="1:24">
      <c r="A71" s="25" t="s">
        <v>1185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10105</f>
        <v>10105</v>
      </c>
      <c r="L71" s="32" t="s">
        <v>1110</v>
      </c>
      <c r="M71" s="31">
        <f>10725</f>
        <v>10725</v>
      </c>
      <c r="N71" s="32" t="s">
        <v>682</v>
      </c>
      <c r="O71" s="31">
        <f>10100</f>
        <v>10100</v>
      </c>
      <c r="P71" s="32" t="s">
        <v>679</v>
      </c>
      <c r="Q71" s="31">
        <f>10160</f>
        <v>10160</v>
      </c>
      <c r="R71" s="32" t="s">
        <v>681</v>
      </c>
      <c r="S71" s="33">
        <f>10334.77</f>
        <v>10334.77</v>
      </c>
      <c r="T71" s="30">
        <f>11780</f>
        <v>11780</v>
      </c>
      <c r="U71" s="30">
        <f>40</f>
        <v>40</v>
      </c>
      <c r="V71" s="30">
        <f>122589100</f>
        <v>122589100</v>
      </c>
      <c r="W71" s="30">
        <f>411200</f>
        <v>411200</v>
      </c>
      <c r="X71" s="34">
        <f>22</f>
        <v>22</v>
      </c>
    </row>
    <row r="72" spans="1:24">
      <c r="A72" s="25" t="s">
        <v>1185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1830</f>
        <v>1830</v>
      </c>
      <c r="L72" s="32" t="s">
        <v>1110</v>
      </c>
      <c r="M72" s="31">
        <f>1849</f>
        <v>1849</v>
      </c>
      <c r="N72" s="32" t="s">
        <v>1113</v>
      </c>
      <c r="O72" s="31">
        <f>1810</f>
        <v>1810</v>
      </c>
      <c r="P72" s="32" t="s">
        <v>679</v>
      </c>
      <c r="Q72" s="31">
        <f>1829</f>
        <v>1829</v>
      </c>
      <c r="R72" s="32" t="s">
        <v>681</v>
      </c>
      <c r="S72" s="33">
        <f>1826.68</f>
        <v>1826.68</v>
      </c>
      <c r="T72" s="30">
        <f>1501393</f>
        <v>1501393</v>
      </c>
      <c r="U72" s="30">
        <f>988180</f>
        <v>988180</v>
      </c>
      <c r="V72" s="30">
        <f>2728341044</f>
        <v>2728341044</v>
      </c>
      <c r="W72" s="30">
        <f>1790389630</f>
        <v>1790389630</v>
      </c>
      <c r="X72" s="34">
        <f>22</f>
        <v>22</v>
      </c>
    </row>
    <row r="73" spans="1:24">
      <c r="A73" s="25" t="s">
        <v>1185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1858</f>
        <v>1858</v>
      </c>
      <c r="L73" s="32" t="s">
        <v>1110</v>
      </c>
      <c r="M73" s="31">
        <f>1880</f>
        <v>1880</v>
      </c>
      <c r="N73" s="32" t="s">
        <v>876</v>
      </c>
      <c r="O73" s="31">
        <f>1842</f>
        <v>1842</v>
      </c>
      <c r="P73" s="32" t="s">
        <v>759</v>
      </c>
      <c r="Q73" s="31">
        <f>1861</f>
        <v>1861</v>
      </c>
      <c r="R73" s="32" t="s">
        <v>681</v>
      </c>
      <c r="S73" s="33">
        <f>1858.59</f>
        <v>1858.59</v>
      </c>
      <c r="T73" s="30">
        <f>489918</f>
        <v>489918</v>
      </c>
      <c r="U73" s="30">
        <f>46</f>
        <v>46</v>
      </c>
      <c r="V73" s="30">
        <f>909511994</f>
        <v>909511994</v>
      </c>
      <c r="W73" s="30">
        <f>85972</f>
        <v>85972</v>
      </c>
      <c r="X73" s="34">
        <f>22</f>
        <v>22</v>
      </c>
    </row>
    <row r="74" spans="1:24">
      <c r="A74" s="25" t="s">
        <v>1185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22850</f>
        <v>22850</v>
      </c>
      <c r="L74" s="32" t="s">
        <v>1110</v>
      </c>
      <c r="M74" s="31">
        <f>23420</f>
        <v>23420</v>
      </c>
      <c r="N74" s="32" t="s">
        <v>684</v>
      </c>
      <c r="O74" s="31">
        <f>21345</f>
        <v>21345</v>
      </c>
      <c r="P74" s="32" t="s">
        <v>676</v>
      </c>
      <c r="Q74" s="31">
        <f>21910</f>
        <v>21910</v>
      </c>
      <c r="R74" s="32" t="s">
        <v>681</v>
      </c>
      <c r="S74" s="33">
        <f>22614.32</f>
        <v>22614.32</v>
      </c>
      <c r="T74" s="30">
        <f>10829</f>
        <v>10829</v>
      </c>
      <c r="U74" s="30">
        <f>5000</f>
        <v>5000</v>
      </c>
      <c r="V74" s="30">
        <f>246609315</f>
        <v>246609315</v>
      </c>
      <c r="W74" s="30">
        <f>114261800</f>
        <v>114261800</v>
      </c>
      <c r="X74" s="34">
        <f>22</f>
        <v>22</v>
      </c>
    </row>
    <row r="75" spans="1:24">
      <c r="A75" s="25" t="s">
        <v>1185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9462</f>
        <v>9462</v>
      </c>
      <c r="L75" s="32" t="s">
        <v>1110</v>
      </c>
      <c r="M75" s="31">
        <f>9500</f>
        <v>9500</v>
      </c>
      <c r="N75" s="32" t="s">
        <v>676</v>
      </c>
      <c r="O75" s="31">
        <f>9300</f>
        <v>9300</v>
      </c>
      <c r="P75" s="32" t="s">
        <v>760</v>
      </c>
      <c r="Q75" s="31">
        <f>9463</f>
        <v>9463</v>
      </c>
      <c r="R75" s="32" t="s">
        <v>681</v>
      </c>
      <c r="S75" s="33">
        <f>9444.36</f>
        <v>9444.36</v>
      </c>
      <c r="T75" s="30">
        <f>1925</f>
        <v>1925</v>
      </c>
      <c r="U75" s="30" t="str">
        <f>"－"</f>
        <v>－</v>
      </c>
      <c r="V75" s="30">
        <f>18150680</f>
        <v>18150680</v>
      </c>
      <c r="W75" s="30" t="str">
        <f>"－"</f>
        <v>－</v>
      </c>
      <c r="X75" s="34">
        <f>22</f>
        <v>22</v>
      </c>
    </row>
    <row r="76" spans="1:24">
      <c r="A76" s="25" t="s">
        <v>1185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11380</f>
        <v>11380</v>
      </c>
      <c r="L76" s="32" t="s">
        <v>1110</v>
      </c>
      <c r="M76" s="31">
        <f>11915</f>
        <v>11915</v>
      </c>
      <c r="N76" s="32" t="s">
        <v>682</v>
      </c>
      <c r="O76" s="31">
        <f>10905</f>
        <v>10905</v>
      </c>
      <c r="P76" s="32" t="s">
        <v>679</v>
      </c>
      <c r="Q76" s="31">
        <f>11210</f>
        <v>11210</v>
      </c>
      <c r="R76" s="32" t="s">
        <v>681</v>
      </c>
      <c r="S76" s="33">
        <f>11450.45</f>
        <v>11450.45</v>
      </c>
      <c r="T76" s="30">
        <f>3631781</f>
        <v>3631781</v>
      </c>
      <c r="U76" s="30">
        <f>424831</f>
        <v>424831</v>
      </c>
      <c r="V76" s="30">
        <f>41539276872</f>
        <v>41539276872</v>
      </c>
      <c r="W76" s="30">
        <f>4882865442</f>
        <v>4882865442</v>
      </c>
      <c r="X76" s="34">
        <f>22</f>
        <v>22</v>
      </c>
    </row>
    <row r="77" spans="1:24">
      <c r="A77" s="25" t="s">
        <v>1185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4740</f>
        <v>4740</v>
      </c>
      <c r="L77" s="32" t="s">
        <v>1110</v>
      </c>
      <c r="M77" s="31">
        <f>4860</f>
        <v>4860</v>
      </c>
      <c r="N77" s="32" t="s">
        <v>1113</v>
      </c>
      <c r="O77" s="31">
        <f>4230</f>
        <v>4230</v>
      </c>
      <c r="P77" s="32" t="s">
        <v>679</v>
      </c>
      <c r="Q77" s="31">
        <f>4435</f>
        <v>4435</v>
      </c>
      <c r="R77" s="32" t="s">
        <v>681</v>
      </c>
      <c r="S77" s="33">
        <f>4617.95</f>
        <v>4617.95</v>
      </c>
      <c r="T77" s="30">
        <f>451884</f>
        <v>451884</v>
      </c>
      <c r="U77" s="30">
        <f>25</f>
        <v>25</v>
      </c>
      <c r="V77" s="30">
        <f>2075415555</f>
        <v>2075415555</v>
      </c>
      <c r="W77" s="30">
        <f>112345</f>
        <v>112345</v>
      </c>
      <c r="X77" s="34">
        <f>22</f>
        <v>22</v>
      </c>
    </row>
    <row r="78" spans="1:24">
      <c r="A78" s="25" t="s">
        <v>1185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13955</f>
        <v>13955</v>
      </c>
      <c r="L78" s="32" t="s">
        <v>1110</v>
      </c>
      <c r="M78" s="31">
        <f>15010</f>
        <v>15010</v>
      </c>
      <c r="N78" s="32" t="s">
        <v>684</v>
      </c>
      <c r="O78" s="31">
        <f>12505</f>
        <v>12505</v>
      </c>
      <c r="P78" s="32" t="s">
        <v>679</v>
      </c>
      <c r="Q78" s="31">
        <f>13030</f>
        <v>13030</v>
      </c>
      <c r="R78" s="32" t="s">
        <v>681</v>
      </c>
      <c r="S78" s="33">
        <f>13985.68</f>
        <v>13985.68</v>
      </c>
      <c r="T78" s="30">
        <f>372236</f>
        <v>372236</v>
      </c>
      <c r="U78" s="30">
        <f>341</f>
        <v>341</v>
      </c>
      <c r="V78" s="30">
        <f>5192378050</f>
        <v>5192378050</v>
      </c>
      <c r="W78" s="30">
        <f>4703650</f>
        <v>4703650</v>
      </c>
      <c r="X78" s="34">
        <f>22</f>
        <v>22</v>
      </c>
    </row>
    <row r="79" spans="1:24">
      <c r="A79" s="25" t="s">
        <v>1185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44680</f>
        <v>44680</v>
      </c>
      <c r="L79" s="32" t="s">
        <v>1110</v>
      </c>
      <c r="M79" s="31">
        <f>49500</f>
        <v>49500</v>
      </c>
      <c r="N79" s="32" t="s">
        <v>1113</v>
      </c>
      <c r="O79" s="31">
        <f>41580</f>
        <v>41580</v>
      </c>
      <c r="P79" s="32" t="s">
        <v>681</v>
      </c>
      <c r="Q79" s="31">
        <f>41910</f>
        <v>41910</v>
      </c>
      <c r="R79" s="32" t="s">
        <v>681</v>
      </c>
      <c r="S79" s="33">
        <f>44993.18</f>
        <v>44993.18</v>
      </c>
      <c r="T79" s="30">
        <f>19154</f>
        <v>19154</v>
      </c>
      <c r="U79" s="30">
        <f>30</f>
        <v>30</v>
      </c>
      <c r="V79" s="30">
        <f>870480810</f>
        <v>870480810</v>
      </c>
      <c r="W79" s="30">
        <f>1413890</f>
        <v>1413890</v>
      </c>
      <c r="X79" s="34">
        <f>22</f>
        <v>22</v>
      </c>
    </row>
    <row r="80" spans="1:24">
      <c r="A80" s="25" t="s">
        <v>1185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32210</f>
        <v>32210</v>
      </c>
      <c r="L80" s="32" t="s">
        <v>1110</v>
      </c>
      <c r="M80" s="31">
        <f>34000</f>
        <v>34000</v>
      </c>
      <c r="N80" s="32" t="s">
        <v>684</v>
      </c>
      <c r="O80" s="31">
        <f>29150</f>
        <v>29150</v>
      </c>
      <c r="P80" s="32" t="s">
        <v>681</v>
      </c>
      <c r="Q80" s="31">
        <f>29565</f>
        <v>29565</v>
      </c>
      <c r="R80" s="32" t="s">
        <v>681</v>
      </c>
      <c r="S80" s="33">
        <f>31862.5</f>
        <v>31862.5</v>
      </c>
      <c r="T80" s="30">
        <f>1427736</f>
        <v>1427736</v>
      </c>
      <c r="U80" s="30">
        <f>47448</f>
        <v>47448</v>
      </c>
      <c r="V80" s="30">
        <f>45510225130</f>
        <v>45510225130</v>
      </c>
      <c r="W80" s="30">
        <f>1510652020</f>
        <v>1510652020</v>
      </c>
      <c r="X80" s="34">
        <f>22</f>
        <v>22</v>
      </c>
    </row>
    <row r="81" spans="1:24">
      <c r="A81" s="25" t="s">
        <v>1185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61770</f>
        <v>61770</v>
      </c>
      <c r="L81" s="32" t="s">
        <v>1110</v>
      </c>
      <c r="M81" s="31">
        <f>63790</f>
        <v>63790</v>
      </c>
      <c r="N81" s="32" t="s">
        <v>682</v>
      </c>
      <c r="O81" s="31">
        <f>59760</f>
        <v>59760</v>
      </c>
      <c r="P81" s="32" t="s">
        <v>679</v>
      </c>
      <c r="Q81" s="31">
        <f>61580</f>
        <v>61580</v>
      </c>
      <c r="R81" s="32" t="s">
        <v>681</v>
      </c>
      <c r="S81" s="33">
        <f>62102.73</f>
        <v>62102.73</v>
      </c>
      <c r="T81" s="30">
        <f>98158</f>
        <v>98158</v>
      </c>
      <c r="U81" s="30">
        <f>5707</f>
        <v>5707</v>
      </c>
      <c r="V81" s="30">
        <f>6141523914</f>
        <v>6141523914</v>
      </c>
      <c r="W81" s="30">
        <f>354363404</f>
        <v>354363404</v>
      </c>
      <c r="X81" s="34">
        <f>22</f>
        <v>22</v>
      </c>
    </row>
    <row r="82" spans="1:24">
      <c r="A82" s="25" t="s">
        <v>1185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9586</f>
        <v>9586</v>
      </c>
      <c r="L82" s="32" t="s">
        <v>1110</v>
      </c>
      <c r="M82" s="31">
        <f>9925</f>
        <v>9925</v>
      </c>
      <c r="N82" s="32" t="s">
        <v>684</v>
      </c>
      <c r="O82" s="31">
        <f>9013</f>
        <v>9013</v>
      </c>
      <c r="P82" s="32" t="s">
        <v>681</v>
      </c>
      <c r="Q82" s="31">
        <f>9124</f>
        <v>9124</v>
      </c>
      <c r="R82" s="32" t="s">
        <v>681</v>
      </c>
      <c r="S82" s="33">
        <f>9537.82</f>
        <v>9537.82</v>
      </c>
      <c r="T82" s="30">
        <f>1768530</f>
        <v>1768530</v>
      </c>
      <c r="U82" s="30">
        <f>541870</f>
        <v>541870</v>
      </c>
      <c r="V82" s="30">
        <f>16797880916</f>
        <v>16797880916</v>
      </c>
      <c r="W82" s="30">
        <f>5114450096</f>
        <v>5114450096</v>
      </c>
      <c r="X82" s="34">
        <f>22</f>
        <v>22</v>
      </c>
    </row>
    <row r="83" spans="1:24">
      <c r="A83" s="25" t="s">
        <v>1185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5890</f>
        <v>5890</v>
      </c>
      <c r="L83" s="32" t="s">
        <v>1110</v>
      </c>
      <c r="M83" s="31">
        <f>6089</f>
        <v>6089</v>
      </c>
      <c r="N83" s="32" t="s">
        <v>684</v>
      </c>
      <c r="O83" s="31">
        <f>5563</f>
        <v>5563</v>
      </c>
      <c r="P83" s="32" t="s">
        <v>679</v>
      </c>
      <c r="Q83" s="31">
        <f>5643</f>
        <v>5643</v>
      </c>
      <c r="R83" s="32" t="s">
        <v>681</v>
      </c>
      <c r="S83" s="33">
        <f>5864.36</f>
        <v>5864.36</v>
      </c>
      <c r="T83" s="30">
        <f>186360</f>
        <v>186360</v>
      </c>
      <c r="U83" s="30">
        <f>2750</f>
        <v>2750</v>
      </c>
      <c r="V83" s="30">
        <f>1092190698</f>
        <v>1092190698</v>
      </c>
      <c r="W83" s="30">
        <f>16488598</f>
        <v>16488598</v>
      </c>
      <c r="X83" s="34">
        <f>22</f>
        <v>22</v>
      </c>
    </row>
    <row r="84" spans="1:24">
      <c r="A84" s="25" t="s">
        <v>1185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5157</f>
        <v>5157</v>
      </c>
      <c r="L84" s="32" t="s">
        <v>1110</v>
      </c>
      <c r="M84" s="31">
        <f>5269</f>
        <v>5269</v>
      </c>
      <c r="N84" s="32" t="s">
        <v>760</v>
      </c>
      <c r="O84" s="31">
        <f>5000</f>
        <v>5000</v>
      </c>
      <c r="P84" s="32" t="s">
        <v>681</v>
      </c>
      <c r="Q84" s="31">
        <f>5067</f>
        <v>5067</v>
      </c>
      <c r="R84" s="32" t="s">
        <v>681</v>
      </c>
      <c r="S84" s="33">
        <f>5133.57</f>
        <v>5133.57</v>
      </c>
      <c r="T84" s="30">
        <f>8650</f>
        <v>8650</v>
      </c>
      <c r="U84" s="30" t="str">
        <f>"－"</f>
        <v>－</v>
      </c>
      <c r="V84" s="30">
        <f>44605040</f>
        <v>44605040</v>
      </c>
      <c r="W84" s="30" t="str">
        <f>"－"</f>
        <v>－</v>
      </c>
      <c r="X84" s="34">
        <f>21</f>
        <v>21</v>
      </c>
    </row>
    <row r="85" spans="1:24">
      <c r="A85" s="25" t="s">
        <v>1185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4895</f>
        <v>4895</v>
      </c>
      <c r="L85" s="32" t="s">
        <v>1110</v>
      </c>
      <c r="M85" s="31">
        <f>5093</f>
        <v>5093</v>
      </c>
      <c r="N85" s="32" t="s">
        <v>876</v>
      </c>
      <c r="O85" s="31">
        <f>4622</f>
        <v>4622</v>
      </c>
      <c r="P85" s="32" t="s">
        <v>681</v>
      </c>
      <c r="Q85" s="31">
        <f>4678</f>
        <v>4678</v>
      </c>
      <c r="R85" s="32" t="s">
        <v>681</v>
      </c>
      <c r="S85" s="33">
        <f>4882.73</f>
        <v>4882.7299999999996</v>
      </c>
      <c r="T85" s="30">
        <f>145460</f>
        <v>145460</v>
      </c>
      <c r="U85" s="30" t="str">
        <f>"－"</f>
        <v>－</v>
      </c>
      <c r="V85" s="30">
        <f>712980990</f>
        <v>712980990</v>
      </c>
      <c r="W85" s="30" t="str">
        <f>"－"</f>
        <v>－</v>
      </c>
      <c r="X85" s="34">
        <f>22</f>
        <v>22</v>
      </c>
    </row>
    <row r="86" spans="1:24">
      <c r="A86" s="25" t="s">
        <v>1185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2341</f>
        <v>2341</v>
      </c>
      <c r="L86" s="32" t="s">
        <v>1110</v>
      </c>
      <c r="M86" s="31">
        <f>2492</f>
        <v>2492</v>
      </c>
      <c r="N86" s="32" t="s">
        <v>682</v>
      </c>
      <c r="O86" s="31">
        <f>2200</f>
        <v>2200</v>
      </c>
      <c r="P86" s="32" t="s">
        <v>679</v>
      </c>
      <c r="Q86" s="31">
        <f>2285.5</f>
        <v>2285.5</v>
      </c>
      <c r="R86" s="32" t="s">
        <v>681</v>
      </c>
      <c r="S86" s="33">
        <f>2358.75</f>
        <v>2358.75</v>
      </c>
      <c r="T86" s="30">
        <f>90650</f>
        <v>90650</v>
      </c>
      <c r="U86" s="30">
        <f>70</f>
        <v>70</v>
      </c>
      <c r="V86" s="30">
        <f>212564045</f>
        <v>212564045</v>
      </c>
      <c r="W86" s="30">
        <f>165900</f>
        <v>165900</v>
      </c>
      <c r="X86" s="34">
        <f>22</f>
        <v>22</v>
      </c>
    </row>
    <row r="87" spans="1:24">
      <c r="A87" s="25" t="s">
        <v>1185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88170</f>
        <v>88170</v>
      </c>
      <c r="L87" s="32" t="s">
        <v>1110</v>
      </c>
      <c r="M87" s="31">
        <f>93290</f>
        <v>93290</v>
      </c>
      <c r="N87" s="32" t="s">
        <v>1145</v>
      </c>
      <c r="O87" s="31">
        <f>82510</f>
        <v>82510</v>
      </c>
      <c r="P87" s="32" t="s">
        <v>681</v>
      </c>
      <c r="Q87" s="31">
        <f>83500</f>
        <v>83500</v>
      </c>
      <c r="R87" s="32" t="s">
        <v>681</v>
      </c>
      <c r="S87" s="33">
        <f>87283.64</f>
        <v>87283.64</v>
      </c>
      <c r="T87" s="30">
        <f>116028</f>
        <v>116028</v>
      </c>
      <c r="U87" s="30">
        <f>236</f>
        <v>236</v>
      </c>
      <c r="V87" s="30">
        <f>10091222346</f>
        <v>10091222346</v>
      </c>
      <c r="W87" s="30">
        <f>20566636</f>
        <v>20566636</v>
      </c>
      <c r="X87" s="34">
        <f>22</f>
        <v>22</v>
      </c>
    </row>
    <row r="88" spans="1:24">
      <c r="A88" s="25" t="s">
        <v>1185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3310</f>
        <v>3310</v>
      </c>
      <c r="L88" s="32" t="s">
        <v>1110</v>
      </c>
      <c r="M88" s="31">
        <f>3330</f>
        <v>3330</v>
      </c>
      <c r="N88" s="32" t="s">
        <v>1110</v>
      </c>
      <c r="O88" s="31">
        <f>3155</f>
        <v>3155</v>
      </c>
      <c r="P88" s="32" t="s">
        <v>676</v>
      </c>
      <c r="Q88" s="31">
        <f>3240</f>
        <v>3240</v>
      </c>
      <c r="R88" s="32" t="s">
        <v>681</v>
      </c>
      <c r="S88" s="33">
        <f>3275.91</f>
        <v>3275.91</v>
      </c>
      <c r="T88" s="30">
        <f>2817</f>
        <v>2817</v>
      </c>
      <c r="U88" s="30" t="str">
        <f>"－"</f>
        <v>－</v>
      </c>
      <c r="V88" s="30">
        <f>9190165</f>
        <v>9190165</v>
      </c>
      <c r="W88" s="30" t="str">
        <f>"－"</f>
        <v>－</v>
      </c>
      <c r="X88" s="34">
        <f>22</f>
        <v>22</v>
      </c>
    </row>
    <row r="89" spans="1:24">
      <c r="A89" s="25" t="s">
        <v>1185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5290</f>
        <v>5290</v>
      </c>
      <c r="L89" s="32" t="s">
        <v>1110</v>
      </c>
      <c r="M89" s="31">
        <f>5550</f>
        <v>5550</v>
      </c>
      <c r="N89" s="32" t="s">
        <v>684</v>
      </c>
      <c r="O89" s="31">
        <f>5110</f>
        <v>5110</v>
      </c>
      <c r="P89" s="32" t="s">
        <v>883</v>
      </c>
      <c r="Q89" s="31">
        <f>5240</f>
        <v>5240</v>
      </c>
      <c r="R89" s="32" t="s">
        <v>681</v>
      </c>
      <c r="S89" s="33">
        <f>5328.18</f>
        <v>5328.18</v>
      </c>
      <c r="T89" s="30">
        <f>9319</f>
        <v>9319</v>
      </c>
      <c r="U89" s="30" t="str">
        <f>"－"</f>
        <v>－</v>
      </c>
      <c r="V89" s="30">
        <f>49595910</f>
        <v>49595910</v>
      </c>
      <c r="W89" s="30" t="str">
        <f>"－"</f>
        <v>－</v>
      </c>
      <c r="X89" s="34">
        <f>22</f>
        <v>22</v>
      </c>
    </row>
    <row r="90" spans="1:24">
      <c r="A90" s="25" t="s">
        <v>1185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2180</f>
        <v>2180</v>
      </c>
      <c r="L90" s="32" t="s">
        <v>1110</v>
      </c>
      <c r="M90" s="31">
        <f>2374</f>
        <v>2374</v>
      </c>
      <c r="N90" s="32" t="s">
        <v>682</v>
      </c>
      <c r="O90" s="31">
        <f>2127</f>
        <v>2127</v>
      </c>
      <c r="P90" s="32" t="s">
        <v>1116</v>
      </c>
      <c r="Q90" s="31">
        <f>2219</f>
        <v>2219</v>
      </c>
      <c r="R90" s="32" t="s">
        <v>681</v>
      </c>
      <c r="S90" s="33">
        <f>2242.27</f>
        <v>2242.27</v>
      </c>
      <c r="T90" s="30">
        <f>1725511</f>
        <v>1725511</v>
      </c>
      <c r="U90" s="30">
        <f>70050</f>
        <v>70050</v>
      </c>
      <c r="V90" s="30">
        <f>3907709925</f>
        <v>3907709925</v>
      </c>
      <c r="W90" s="30">
        <f>156548897</f>
        <v>156548897</v>
      </c>
      <c r="X90" s="34">
        <f>22</f>
        <v>22</v>
      </c>
    </row>
    <row r="91" spans="1:24">
      <c r="A91" s="25" t="s">
        <v>1185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51100</f>
        <v>51100</v>
      </c>
      <c r="L91" s="32" t="s">
        <v>1110</v>
      </c>
      <c r="M91" s="31">
        <f>51900</f>
        <v>51900</v>
      </c>
      <c r="N91" s="32" t="s">
        <v>684</v>
      </c>
      <c r="O91" s="31">
        <f>48710</f>
        <v>48710</v>
      </c>
      <c r="P91" s="32" t="s">
        <v>679</v>
      </c>
      <c r="Q91" s="31">
        <f>49270</f>
        <v>49270</v>
      </c>
      <c r="R91" s="32" t="s">
        <v>681</v>
      </c>
      <c r="S91" s="33">
        <f>50614.09</f>
        <v>50614.09</v>
      </c>
      <c r="T91" s="30">
        <f>22078</f>
        <v>22078</v>
      </c>
      <c r="U91" s="30">
        <f>461</f>
        <v>461</v>
      </c>
      <c r="V91" s="30">
        <f>1117274552</f>
        <v>1117274552</v>
      </c>
      <c r="W91" s="30">
        <f>23439192</f>
        <v>23439192</v>
      </c>
      <c r="X91" s="34">
        <f>22</f>
        <v>22</v>
      </c>
    </row>
    <row r="92" spans="1:24">
      <c r="A92" s="25" t="s">
        <v>1185</v>
      </c>
      <c r="B92" s="25" t="s">
        <v>259</v>
      </c>
      <c r="C92" s="25" t="s">
        <v>260</v>
      </c>
      <c r="D92" s="25" t="s">
        <v>261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524.7</f>
        <v>524.70000000000005</v>
      </c>
      <c r="L92" s="32" t="s">
        <v>1110</v>
      </c>
      <c r="M92" s="31">
        <f>566.3</f>
        <v>566.29999999999995</v>
      </c>
      <c r="N92" s="32" t="s">
        <v>684</v>
      </c>
      <c r="O92" s="31">
        <f>470.6</f>
        <v>470.6</v>
      </c>
      <c r="P92" s="32" t="s">
        <v>676</v>
      </c>
      <c r="Q92" s="31">
        <f>509.8</f>
        <v>509.8</v>
      </c>
      <c r="R92" s="32" t="s">
        <v>681</v>
      </c>
      <c r="S92" s="33">
        <f>526.98</f>
        <v>526.98</v>
      </c>
      <c r="T92" s="30">
        <f>160327930</f>
        <v>160327930</v>
      </c>
      <c r="U92" s="30">
        <f>16540</f>
        <v>16540</v>
      </c>
      <c r="V92" s="30">
        <f>84479137300</f>
        <v>84479137300</v>
      </c>
      <c r="W92" s="30">
        <f>8272391</f>
        <v>8272391</v>
      </c>
      <c r="X92" s="34">
        <f>22</f>
        <v>22</v>
      </c>
    </row>
    <row r="93" spans="1:24">
      <c r="A93" s="25" t="s">
        <v>1185</v>
      </c>
      <c r="B93" s="25" t="s">
        <v>262</v>
      </c>
      <c r="C93" s="25" t="s">
        <v>263</v>
      </c>
      <c r="D93" s="25" t="s">
        <v>264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1271</f>
        <v>1271</v>
      </c>
      <c r="L93" s="32" t="s">
        <v>1110</v>
      </c>
      <c r="M93" s="31">
        <f>1335.5</f>
        <v>1335.5</v>
      </c>
      <c r="N93" s="32" t="s">
        <v>676</v>
      </c>
      <c r="O93" s="31">
        <f>1224</f>
        <v>1224</v>
      </c>
      <c r="P93" s="32" t="s">
        <v>684</v>
      </c>
      <c r="Q93" s="31">
        <f>1286.5</f>
        <v>1286.5</v>
      </c>
      <c r="R93" s="32" t="s">
        <v>681</v>
      </c>
      <c r="S93" s="33">
        <f>1269.11</f>
        <v>1269.1099999999999</v>
      </c>
      <c r="T93" s="30">
        <f>3380940</f>
        <v>3380940</v>
      </c>
      <c r="U93" s="30">
        <f>1699390</f>
        <v>1699390</v>
      </c>
      <c r="V93" s="30">
        <f>4275945790</f>
        <v>4275945790</v>
      </c>
      <c r="W93" s="30">
        <f>2101777520</f>
        <v>2101777520</v>
      </c>
      <c r="X93" s="34">
        <f>22</f>
        <v>22</v>
      </c>
    </row>
    <row r="94" spans="1:24">
      <c r="A94" s="25" t="s">
        <v>1185</v>
      </c>
      <c r="B94" s="25" t="s">
        <v>265</v>
      </c>
      <c r="C94" s="25" t="s">
        <v>266</v>
      </c>
      <c r="D94" s="25" t="s">
        <v>267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29660</f>
        <v>29660</v>
      </c>
      <c r="L94" s="32" t="s">
        <v>1110</v>
      </c>
      <c r="M94" s="31">
        <f>33650</f>
        <v>33650</v>
      </c>
      <c r="N94" s="32" t="s">
        <v>684</v>
      </c>
      <c r="O94" s="31">
        <f>26335</f>
        <v>26335</v>
      </c>
      <c r="P94" s="32" t="s">
        <v>676</v>
      </c>
      <c r="Q94" s="31">
        <f>28470</f>
        <v>28470</v>
      </c>
      <c r="R94" s="32" t="s">
        <v>681</v>
      </c>
      <c r="S94" s="33">
        <f>30049.32</f>
        <v>30049.32</v>
      </c>
      <c r="T94" s="30">
        <f>123807921</f>
        <v>123807921</v>
      </c>
      <c r="U94" s="30">
        <f>769639</f>
        <v>769639</v>
      </c>
      <c r="V94" s="30">
        <f>3684601930497</f>
        <v>3684601930497</v>
      </c>
      <c r="W94" s="30">
        <f>23096499832</f>
        <v>23096499832</v>
      </c>
      <c r="X94" s="34">
        <f>22</f>
        <v>22</v>
      </c>
    </row>
    <row r="95" spans="1:24">
      <c r="A95" s="25" t="s">
        <v>1185</v>
      </c>
      <c r="B95" s="25" t="s">
        <v>268</v>
      </c>
      <c r="C95" s="25" t="s">
        <v>269</v>
      </c>
      <c r="D95" s="25" t="s">
        <v>270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608</f>
        <v>608</v>
      </c>
      <c r="L95" s="32" t="s">
        <v>1110</v>
      </c>
      <c r="M95" s="31">
        <f>641</f>
        <v>641</v>
      </c>
      <c r="N95" s="32" t="s">
        <v>676</v>
      </c>
      <c r="O95" s="31">
        <f>569</f>
        <v>569</v>
      </c>
      <c r="P95" s="32" t="s">
        <v>684</v>
      </c>
      <c r="Q95" s="31">
        <f>615</f>
        <v>615</v>
      </c>
      <c r="R95" s="32" t="s">
        <v>681</v>
      </c>
      <c r="S95" s="33">
        <f>602.36</f>
        <v>602.36</v>
      </c>
      <c r="T95" s="30">
        <f>55220421</f>
        <v>55220421</v>
      </c>
      <c r="U95" s="30">
        <f>2602950</f>
        <v>2602950</v>
      </c>
      <c r="V95" s="30">
        <f>33338382834</f>
        <v>33338382834</v>
      </c>
      <c r="W95" s="30">
        <f>1515474101</f>
        <v>1515474101</v>
      </c>
      <c r="X95" s="34">
        <f>22</f>
        <v>22</v>
      </c>
    </row>
    <row r="96" spans="1:24">
      <c r="A96" s="25" t="s">
        <v>1185</v>
      </c>
      <c r="B96" s="25" t="s">
        <v>271</v>
      </c>
      <c r="C96" s="25" t="s">
        <v>272</v>
      </c>
      <c r="D96" s="25" t="s">
        <v>273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4435</f>
        <v>4435</v>
      </c>
      <c r="L96" s="32" t="s">
        <v>1110</v>
      </c>
      <c r="M96" s="31">
        <f>4850</f>
        <v>4850</v>
      </c>
      <c r="N96" s="32" t="s">
        <v>675</v>
      </c>
      <c r="O96" s="31">
        <f>3898</f>
        <v>3898</v>
      </c>
      <c r="P96" s="32" t="s">
        <v>681</v>
      </c>
      <c r="Q96" s="31">
        <f>4101</f>
        <v>4101</v>
      </c>
      <c r="R96" s="32" t="s">
        <v>681</v>
      </c>
      <c r="S96" s="33">
        <f>4423.27</f>
        <v>4423.2700000000004</v>
      </c>
      <c r="T96" s="30">
        <f>432500</f>
        <v>432500</v>
      </c>
      <c r="U96" s="30" t="str">
        <f>"－"</f>
        <v>－</v>
      </c>
      <c r="V96" s="30">
        <f>1929082840</f>
        <v>1929082840</v>
      </c>
      <c r="W96" s="30" t="str">
        <f>"－"</f>
        <v>－</v>
      </c>
      <c r="X96" s="34">
        <f>22</f>
        <v>22</v>
      </c>
    </row>
    <row r="97" spans="1:24">
      <c r="A97" s="25" t="s">
        <v>1185</v>
      </c>
      <c r="B97" s="25" t="s">
        <v>274</v>
      </c>
      <c r="C97" s="25" t="s">
        <v>275</v>
      </c>
      <c r="D97" s="25" t="s">
        <v>276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12635</f>
        <v>12635</v>
      </c>
      <c r="L97" s="32" t="s">
        <v>1110</v>
      </c>
      <c r="M97" s="31">
        <f>12765</f>
        <v>12765</v>
      </c>
      <c r="N97" s="32" t="s">
        <v>1110</v>
      </c>
      <c r="O97" s="31">
        <f>11995</f>
        <v>11995</v>
      </c>
      <c r="P97" s="32" t="s">
        <v>677</v>
      </c>
      <c r="Q97" s="31">
        <f>12250</f>
        <v>12250</v>
      </c>
      <c r="R97" s="32" t="s">
        <v>681</v>
      </c>
      <c r="S97" s="33">
        <f>12435</f>
        <v>12435</v>
      </c>
      <c r="T97" s="30">
        <f>25210</f>
        <v>25210</v>
      </c>
      <c r="U97" s="30" t="str">
        <f>"－"</f>
        <v>－</v>
      </c>
      <c r="V97" s="30">
        <f>312656500</f>
        <v>312656500</v>
      </c>
      <c r="W97" s="30" t="str">
        <f>"－"</f>
        <v>－</v>
      </c>
      <c r="X97" s="34">
        <f>22</f>
        <v>22</v>
      </c>
    </row>
    <row r="98" spans="1:24">
      <c r="A98" s="25" t="s">
        <v>1185</v>
      </c>
      <c r="B98" s="25" t="s">
        <v>277</v>
      </c>
      <c r="C98" s="25" t="s">
        <v>278</v>
      </c>
      <c r="D98" s="25" t="s">
        <v>972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38940</f>
        <v>38940</v>
      </c>
      <c r="L98" s="32" t="s">
        <v>1110</v>
      </c>
      <c r="M98" s="31">
        <f>40310</f>
        <v>40310</v>
      </c>
      <c r="N98" s="32" t="s">
        <v>674</v>
      </c>
      <c r="O98" s="31">
        <f>37510</f>
        <v>37510</v>
      </c>
      <c r="P98" s="32" t="s">
        <v>676</v>
      </c>
      <c r="Q98" s="31">
        <f>39170</f>
        <v>39170</v>
      </c>
      <c r="R98" s="32" t="s">
        <v>681</v>
      </c>
      <c r="S98" s="33">
        <f>39318.18</f>
        <v>39318.18</v>
      </c>
      <c r="T98" s="30">
        <f>192165</f>
        <v>192165</v>
      </c>
      <c r="U98" s="30">
        <f>127916</f>
        <v>127916</v>
      </c>
      <c r="V98" s="30">
        <f>7449963688</f>
        <v>7449963688</v>
      </c>
      <c r="W98" s="30">
        <f>4933606718</f>
        <v>4933606718</v>
      </c>
      <c r="X98" s="34">
        <f>22</f>
        <v>22</v>
      </c>
    </row>
    <row r="99" spans="1:24">
      <c r="A99" s="25" t="s">
        <v>1185</v>
      </c>
      <c r="B99" s="25" t="s">
        <v>279</v>
      </c>
      <c r="C99" s="25" t="s">
        <v>280</v>
      </c>
      <c r="D99" s="25" t="s">
        <v>281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3190</f>
        <v>3190</v>
      </c>
      <c r="L99" s="32" t="s">
        <v>1110</v>
      </c>
      <c r="M99" s="31">
        <f>3385</f>
        <v>3385</v>
      </c>
      <c r="N99" s="32" t="s">
        <v>684</v>
      </c>
      <c r="O99" s="31">
        <f>2998</f>
        <v>2998</v>
      </c>
      <c r="P99" s="32" t="s">
        <v>676</v>
      </c>
      <c r="Q99" s="31">
        <f>3120</f>
        <v>3120</v>
      </c>
      <c r="R99" s="32" t="s">
        <v>681</v>
      </c>
      <c r="S99" s="33">
        <f>3202.95</f>
        <v>3202.95</v>
      </c>
      <c r="T99" s="30">
        <f>125613</f>
        <v>125613</v>
      </c>
      <c r="U99" s="30">
        <f>989</f>
        <v>989</v>
      </c>
      <c r="V99" s="30">
        <f>399125202</f>
        <v>399125202</v>
      </c>
      <c r="W99" s="30">
        <f>3122595</f>
        <v>3122595</v>
      </c>
      <c r="X99" s="34">
        <f>22</f>
        <v>22</v>
      </c>
    </row>
    <row r="100" spans="1:24">
      <c r="A100" s="25" t="s">
        <v>1185</v>
      </c>
      <c r="B100" s="25" t="s">
        <v>282</v>
      </c>
      <c r="C100" s="25" t="s">
        <v>283</v>
      </c>
      <c r="D100" s="25" t="s">
        <v>284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317.4</f>
        <v>317.39999999999998</v>
      </c>
      <c r="L100" s="32" t="s">
        <v>1110</v>
      </c>
      <c r="M100" s="31">
        <f>359.9</f>
        <v>359.9</v>
      </c>
      <c r="N100" s="32" t="s">
        <v>684</v>
      </c>
      <c r="O100" s="31">
        <f>281.6</f>
        <v>281.60000000000002</v>
      </c>
      <c r="P100" s="32" t="s">
        <v>676</v>
      </c>
      <c r="Q100" s="31">
        <f>303.7</f>
        <v>303.7</v>
      </c>
      <c r="R100" s="32" t="s">
        <v>681</v>
      </c>
      <c r="S100" s="33">
        <f>321.34</f>
        <v>321.33999999999997</v>
      </c>
      <c r="T100" s="30">
        <f>660910460</f>
        <v>660910460</v>
      </c>
      <c r="U100" s="30">
        <f>1968620</f>
        <v>1968620</v>
      </c>
      <c r="V100" s="30">
        <f>208953097817</f>
        <v>208953097817</v>
      </c>
      <c r="W100" s="30">
        <f>618876313</f>
        <v>618876313</v>
      </c>
      <c r="X100" s="34">
        <f>22</f>
        <v>22</v>
      </c>
    </row>
    <row r="101" spans="1:24">
      <c r="A101" s="25" t="s">
        <v>1185</v>
      </c>
      <c r="B101" s="25" t="s">
        <v>285</v>
      </c>
      <c r="C101" s="25" t="s">
        <v>286</v>
      </c>
      <c r="D101" s="25" t="s">
        <v>287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1611</f>
        <v>1611</v>
      </c>
      <c r="L101" s="32" t="s">
        <v>1110</v>
      </c>
      <c r="M101" s="31">
        <f>1698.5</f>
        <v>1698.5</v>
      </c>
      <c r="N101" s="32" t="s">
        <v>676</v>
      </c>
      <c r="O101" s="31">
        <f>1510</f>
        <v>1510</v>
      </c>
      <c r="P101" s="32" t="s">
        <v>684</v>
      </c>
      <c r="Q101" s="31">
        <f>1631.5</f>
        <v>1631.5</v>
      </c>
      <c r="R101" s="32" t="s">
        <v>681</v>
      </c>
      <c r="S101" s="33">
        <f>1597.59</f>
        <v>1597.59</v>
      </c>
      <c r="T101" s="30">
        <f>7922520</f>
        <v>7922520</v>
      </c>
      <c r="U101" s="30">
        <f>2185940</f>
        <v>2185940</v>
      </c>
      <c r="V101" s="30">
        <f>12645601194</f>
        <v>12645601194</v>
      </c>
      <c r="W101" s="30">
        <f>3383749999</f>
        <v>3383749999</v>
      </c>
      <c r="X101" s="34">
        <f>22</f>
        <v>22</v>
      </c>
    </row>
    <row r="102" spans="1:24">
      <c r="A102" s="25" t="s">
        <v>1185</v>
      </c>
      <c r="B102" s="25" t="s">
        <v>288</v>
      </c>
      <c r="C102" s="25" t="s">
        <v>922</v>
      </c>
      <c r="D102" s="25" t="s">
        <v>923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1977</f>
        <v>1977</v>
      </c>
      <c r="L102" s="32" t="s">
        <v>1110</v>
      </c>
      <c r="M102" s="31">
        <f>2026.5</f>
        <v>2026.5</v>
      </c>
      <c r="N102" s="32" t="s">
        <v>675</v>
      </c>
      <c r="O102" s="31">
        <f>1819</f>
        <v>1819</v>
      </c>
      <c r="P102" s="32" t="s">
        <v>777</v>
      </c>
      <c r="Q102" s="31">
        <f>1903</f>
        <v>1903</v>
      </c>
      <c r="R102" s="32" t="s">
        <v>681</v>
      </c>
      <c r="S102" s="33">
        <f>1949.07</f>
        <v>1949.07</v>
      </c>
      <c r="T102" s="30">
        <f>48710</f>
        <v>48710</v>
      </c>
      <c r="U102" s="30">
        <f>80</f>
        <v>80</v>
      </c>
      <c r="V102" s="30">
        <f>94056009</f>
        <v>94056009</v>
      </c>
      <c r="W102" s="30">
        <f>157559</f>
        <v>157559</v>
      </c>
      <c r="X102" s="34">
        <f>22</f>
        <v>22</v>
      </c>
    </row>
    <row r="103" spans="1:24">
      <c r="A103" s="25" t="s">
        <v>1185</v>
      </c>
      <c r="B103" s="25" t="s">
        <v>289</v>
      </c>
      <c r="C103" s="25" t="s">
        <v>290</v>
      </c>
      <c r="D103" s="25" t="s">
        <v>291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2269</f>
        <v>2269</v>
      </c>
      <c r="L103" s="32" t="s">
        <v>1110</v>
      </c>
      <c r="M103" s="31">
        <f>2342</f>
        <v>2342</v>
      </c>
      <c r="N103" s="32" t="s">
        <v>684</v>
      </c>
      <c r="O103" s="31">
        <f>2150</f>
        <v>2150</v>
      </c>
      <c r="P103" s="32" t="s">
        <v>676</v>
      </c>
      <c r="Q103" s="31">
        <f>2207</f>
        <v>2207</v>
      </c>
      <c r="R103" s="32" t="s">
        <v>681</v>
      </c>
      <c r="S103" s="33">
        <f>2262.64</f>
        <v>2262.64</v>
      </c>
      <c r="T103" s="30">
        <f>4683</f>
        <v>4683</v>
      </c>
      <c r="U103" s="30" t="str">
        <f>"－"</f>
        <v>－</v>
      </c>
      <c r="V103" s="30">
        <f>10599996</f>
        <v>10599996</v>
      </c>
      <c r="W103" s="30" t="str">
        <f>"－"</f>
        <v>－</v>
      </c>
      <c r="X103" s="34">
        <f>22</f>
        <v>22</v>
      </c>
    </row>
    <row r="104" spans="1:24">
      <c r="A104" s="25" t="s">
        <v>1185</v>
      </c>
      <c r="B104" s="25" t="s">
        <v>292</v>
      </c>
      <c r="C104" s="25" t="s">
        <v>293</v>
      </c>
      <c r="D104" s="25" t="s">
        <v>294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25725</f>
        <v>25725</v>
      </c>
      <c r="L104" s="32" t="s">
        <v>1110</v>
      </c>
      <c r="M104" s="31">
        <f>27200</f>
        <v>27200</v>
      </c>
      <c r="N104" s="32" t="s">
        <v>684</v>
      </c>
      <c r="O104" s="31">
        <f>24800</f>
        <v>24800</v>
      </c>
      <c r="P104" s="32" t="s">
        <v>676</v>
      </c>
      <c r="Q104" s="31">
        <f>25450</f>
        <v>25450</v>
      </c>
      <c r="R104" s="32" t="s">
        <v>681</v>
      </c>
      <c r="S104" s="33">
        <f>26217.95</f>
        <v>26217.95</v>
      </c>
      <c r="T104" s="30">
        <f>624838</f>
        <v>624838</v>
      </c>
      <c r="U104" s="30">
        <f>543517</f>
        <v>543517</v>
      </c>
      <c r="V104" s="30">
        <f>16548284178</f>
        <v>16548284178</v>
      </c>
      <c r="W104" s="30">
        <f>14397640503</f>
        <v>14397640503</v>
      </c>
      <c r="X104" s="34">
        <f>22</f>
        <v>22</v>
      </c>
    </row>
    <row r="105" spans="1:24">
      <c r="A105" s="25" t="s">
        <v>1185</v>
      </c>
      <c r="B105" s="25" t="s">
        <v>295</v>
      </c>
      <c r="C105" s="25" t="s">
        <v>296</v>
      </c>
      <c r="D105" s="25" t="s">
        <v>297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2398</f>
        <v>2398</v>
      </c>
      <c r="L105" s="32" t="s">
        <v>1110</v>
      </c>
      <c r="M105" s="31">
        <f>2496</f>
        <v>2496</v>
      </c>
      <c r="N105" s="32" t="s">
        <v>682</v>
      </c>
      <c r="O105" s="31">
        <f>2264</f>
        <v>2264</v>
      </c>
      <c r="P105" s="32" t="s">
        <v>676</v>
      </c>
      <c r="Q105" s="31">
        <f>2355</f>
        <v>2355</v>
      </c>
      <c r="R105" s="32" t="s">
        <v>681</v>
      </c>
      <c r="S105" s="33">
        <f>2403.64</f>
        <v>2403.64</v>
      </c>
      <c r="T105" s="30">
        <f>55271</f>
        <v>55271</v>
      </c>
      <c r="U105" s="30" t="str">
        <f>"－"</f>
        <v>－</v>
      </c>
      <c r="V105" s="30">
        <f>131893003</f>
        <v>131893003</v>
      </c>
      <c r="W105" s="30" t="str">
        <f>"－"</f>
        <v>－</v>
      </c>
      <c r="X105" s="34">
        <f>22</f>
        <v>22</v>
      </c>
    </row>
    <row r="106" spans="1:24">
      <c r="A106" s="25" t="s">
        <v>1185</v>
      </c>
      <c r="B106" s="25" t="s">
        <v>298</v>
      </c>
      <c r="C106" s="25" t="s">
        <v>299</v>
      </c>
      <c r="D106" s="25" t="s">
        <v>300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26815</f>
        <v>26815</v>
      </c>
      <c r="L106" s="32" t="s">
        <v>1110</v>
      </c>
      <c r="M106" s="31">
        <f>28105</f>
        <v>28105</v>
      </c>
      <c r="N106" s="32" t="s">
        <v>684</v>
      </c>
      <c r="O106" s="31">
        <f>25300</f>
        <v>25300</v>
      </c>
      <c r="P106" s="32" t="s">
        <v>676</v>
      </c>
      <c r="Q106" s="31">
        <f>26355</f>
        <v>26355</v>
      </c>
      <c r="R106" s="32" t="s">
        <v>681</v>
      </c>
      <c r="S106" s="33">
        <f>26990.23</f>
        <v>26990.23</v>
      </c>
      <c r="T106" s="30">
        <f>42722</f>
        <v>42722</v>
      </c>
      <c r="U106" s="30">
        <f>10210</f>
        <v>10210</v>
      </c>
      <c r="V106" s="30">
        <f>1138629455</f>
        <v>1138629455</v>
      </c>
      <c r="W106" s="30">
        <f>262467875</f>
        <v>262467875</v>
      </c>
      <c r="X106" s="34">
        <f>22</f>
        <v>22</v>
      </c>
    </row>
    <row r="107" spans="1:24">
      <c r="A107" s="25" t="s">
        <v>1185</v>
      </c>
      <c r="B107" s="25" t="s">
        <v>301</v>
      </c>
      <c r="C107" s="25" t="s">
        <v>302</v>
      </c>
      <c r="D107" s="25" t="s">
        <v>303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1777</f>
        <v>1777</v>
      </c>
      <c r="L107" s="32" t="s">
        <v>1110</v>
      </c>
      <c r="M107" s="31">
        <f>1785</f>
        <v>1785</v>
      </c>
      <c r="N107" s="32" t="s">
        <v>678</v>
      </c>
      <c r="O107" s="31">
        <f>1734</f>
        <v>1734</v>
      </c>
      <c r="P107" s="32" t="s">
        <v>679</v>
      </c>
      <c r="Q107" s="31">
        <f>1765.5</f>
        <v>1765.5</v>
      </c>
      <c r="R107" s="32" t="s">
        <v>681</v>
      </c>
      <c r="S107" s="33">
        <f>1759.95</f>
        <v>1759.95</v>
      </c>
      <c r="T107" s="30">
        <f>2952740</f>
        <v>2952740</v>
      </c>
      <c r="U107" s="30">
        <f>537520</f>
        <v>537520</v>
      </c>
      <c r="V107" s="30">
        <f>5167538697</f>
        <v>5167538697</v>
      </c>
      <c r="W107" s="30">
        <f>939687352</f>
        <v>939687352</v>
      </c>
      <c r="X107" s="34">
        <f>22</f>
        <v>22</v>
      </c>
    </row>
    <row r="108" spans="1:24">
      <c r="A108" s="25" t="s">
        <v>1185</v>
      </c>
      <c r="B108" s="25" t="s">
        <v>304</v>
      </c>
      <c r="C108" s="25" t="s">
        <v>305</v>
      </c>
      <c r="D108" s="25" t="s">
        <v>306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 t="str">
        <f>"－"</f>
        <v>－</v>
      </c>
      <c r="L108" s="32"/>
      <c r="M108" s="31" t="str">
        <f>"－"</f>
        <v>－</v>
      </c>
      <c r="N108" s="32"/>
      <c r="O108" s="31" t="str">
        <f>"－"</f>
        <v>－</v>
      </c>
      <c r="P108" s="32"/>
      <c r="Q108" s="31" t="str">
        <f>"－"</f>
        <v>－</v>
      </c>
      <c r="R108" s="32"/>
      <c r="S108" s="33" t="str">
        <f t="shared" ref="S108:X108" si="0">"－"</f>
        <v>－</v>
      </c>
      <c r="T108" s="30" t="str">
        <f t="shared" si="0"/>
        <v>－</v>
      </c>
      <c r="U108" s="30" t="str">
        <f t="shared" si="0"/>
        <v>－</v>
      </c>
      <c r="V108" s="30" t="str">
        <f t="shared" si="0"/>
        <v>－</v>
      </c>
      <c r="W108" s="30" t="str">
        <f t="shared" si="0"/>
        <v>－</v>
      </c>
      <c r="X108" s="34" t="str">
        <f t="shared" si="0"/>
        <v>－</v>
      </c>
    </row>
    <row r="109" spans="1:24">
      <c r="A109" s="25" t="s">
        <v>1185</v>
      </c>
      <c r="B109" s="25" t="s">
        <v>307</v>
      </c>
      <c r="C109" s="25" t="s">
        <v>308</v>
      </c>
      <c r="D109" s="25" t="s">
        <v>309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1781.5</f>
        <v>1781.5</v>
      </c>
      <c r="L109" s="32" t="s">
        <v>1110</v>
      </c>
      <c r="M109" s="31">
        <f>1804</f>
        <v>1804</v>
      </c>
      <c r="N109" s="32" t="s">
        <v>678</v>
      </c>
      <c r="O109" s="31">
        <f>1748.5</f>
        <v>1748.5</v>
      </c>
      <c r="P109" s="32" t="s">
        <v>876</v>
      </c>
      <c r="Q109" s="31">
        <f>1780</f>
        <v>1780</v>
      </c>
      <c r="R109" s="32" t="s">
        <v>681</v>
      </c>
      <c r="S109" s="33">
        <f>1772.5</f>
        <v>1772.5</v>
      </c>
      <c r="T109" s="30">
        <f>2670430</f>
        <v>2670430</v>
      </c>
      <c r="U109" s="30">
        <f>1036620</f>
        <v>1036620</v>
      </c>
      <c r="V109" s="30">
        <f>4712940351</f>
        <v>4712940351</v>
      </c>
      <c r="W109" s="30">
        <f>1826868086</f>
        <v>1826868086</v>
      </c>
      <c r="X109" s="34">
        <f>22</f>
        <v>22</v>
      </c>
    </row>
    <row r="110" spans="1:24">
      <c r="A110" s="25" t="s">
        <v>1185</v>
      </c>
      <c r="B110" s="25" t="s">
        <v>310</v>
      </c>
      <c r="C110" s="25" t="s">
        <v>924</v>
      </c>
      <c r="D110" s="25" t="s">
        <v>925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</v>
      </c>
      <c r="K110" s="31">
        <f>26740</f>
        <v>26740</v>
      </c>
      <c r="L110" s="32" t="s">
        <v>1110</v>
      </c>
      <c r="M110" s="31">
        <f>27415</f>
        <v>27415</v>
      </c>
      <c r="N110" s="32" t="s">
        <v>684</v>
      </c>
      <c r="O110" s="31">
        <f>25070</f>
        <v>25070</v>
      </c>
      <c r="P110" s="32" t="s">
        <v>679</v>
      </c>
      <c r="Q110" s="31">
        <f>26005</f>
        <v>26005</v>
      </c>
      <c r="R110" s="32" t="s">
        <v>681</v>
      </c>
      <c r="S110" s="33">
        <f>26515.23</f>
        <v>26515.23</v>
      </c>
      <c r="T110" s="30">
        <f>17538</f>
        <v>17538</v>
      </c>
      <c r="U110" s="30">
        <f>12501</f>
        <v>12501</v>
      </c>
      <c r="V110" s="30">
        <f>475533400</f>
        <v>475533400</v>
      </c>
      <c r="W110" s="30">
        <f>341289665</f>
        <v>341289665</v>
      </c>
      <c r="X110" s="34">
        <f>22</f>
        <v>22</v>
      </c>
    </row>
    <row r="111" spans="1:24">
      <c r="A111" s="25" t="s">
        <v>1185</v>
      </c>
      <c r="B111" s="25" t="s">
        <v>1143</v>
      </c>
      <c r="C111" s="25" t="s">
        <v>1142</v>
      </c>
      <c r="D111" s="25" t="s">
        <v>1141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537.9</f>
        <v>537.9</v>
      </c>
      <c r="L111" s="32" t="s">
        <v>1110</v>
      </c>
      <c r="M111" s="31">
        <f>570</f>
        <v>570</v>
      </c>
      <c r="N111" s="32" t="s">
        <v>684</v>
      </c>
      <c r="O111" s="31">
        <f>513</f>
        <v>513</v>
      </c>
      <c r="P111" s="32" t="s">
        <v>676</v>
      </c>
      <c r="Q111" s="31">
        <f>533.2</f>
        <v>533.20000000000005</v>
      </c>
      <c r="R111" s="32" t="s">
        <v>681</v>
      </c>
      <c r="S111" s="33">
        <f>543.64</f>
        <v>543.64</v>
      </c>
      <c r="T111" s="30">
        <f>727060</f>
        <v>727060</v>
      </c>
      <c r="U111" s="30">
        <f>180000</f>
        <v>180000</v>
      </c>
      <c r="V111" s="30">
        <f>391945710</f>
        <v>391945710</v>
      </c>
      <c r="W111" s="30">
        <f>93564000</f>
        <v>93564000</v>
      </c>
      <c r="X111" s="34">
        <f>22</f>
        <v>22</v>
      </c>
    </row>
    <row r="112" spans="1:24">
      <c r="A112" s="25" t="s">
        <v>1185</v>
      </c>
      <c r="B112" s="25" t="s">
        <v>311</v>
      </c>
      <c r="C112" s="25" t="s">
        <v>312</v>
      </c>
      <c r="D112" s="25" t="s">
        <v>313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100</v>
      </c>
      <c r="K112" s="31">
        <f>371.1</f>
        <v>371.1</v>
      </c>
      <c r="L112" s="32" t="s">
        <v>1110</v>
      </c>
      <c r="M112" s="31">
        <f>387.2</f>
        <v>387.2</v>
      </c>
      <c r="N112" s="32" t="s">
        <v>674</v>
      </c>
      <c r="O112" s="31">
        <f>346.5</f>
        <v>346.5</v>
      </c>
      <c r="P112" s="32" t="s">
        <v>676</v>
      </c>
      <c r="Q112" s="31">
        <f>366.5</f>
        <v>366.5</v>
      </c>
      <c r="R112" s="32" t="s">
        <v>681</v>
      </c>
      <c r="S112" s="33">
        <f>368.08</f>
        <v>368.08</v>
      </c>
      <c r="T112" s="30">
        <f>160811500</f>
        <v>160811500</v>
      </c>
      <c r="U112" s="30">
        <f>63131600</f>
        <v>63131600</v>
      </c>
      <c r="V112" s="30">
        <f>59382164752</f>
        <v>59382164752</v>
      </c>
      <c r="W112" s="30">
        <f>23308035832</f>
        <v>23308035832</v>
      </c>
      <c r="X112" s="34">
        <f>22</f>
        <v>22</v>
      </c>
    </row>
    <row r="113" spans="1:24">
      <c r="A113" s="25" t="s">
        <v>1185</v>
      </c>
      <c r="B113" s="25" t="s">
        <v>314</v>
      </c>
      <c r="C113" s="25" t="s">
        <v>315</v>
      </c>
      <c r="D113" s="25" t="s">
        <v>316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38560</f>
        <v>38560</v>
      </c>
      <c r="L113" s="32" t="s">
        <v>1110</v>
      </c>
      <c r="M113" s="31">
        <f>39770</f>
        <v>39770</v>
      </c>
      <c r="N113" s="32" t="s">
        <v>680</v>
      </c>
      <c r="O113" s="31">
        <f>38210</f>
        <v>38210</v>
      </c>
      <c r="P113" s="32" t="s">
        <v>675</v>
      </c>
      <c r="Q113" s="31">
        <f>39440</f>
        <v>39440</v>
      </c>
      <c r="R113" s="32" t="s">
        <v>681</v>
      </c>
      <c r="S113" s="33">
        <f>39008.18</f>
        <v>39008.18</v>
      </c>
      <c r="T113" s="30">
        <f>7534</f>
        <v>7534</v>
      </c>
      <c r="U113" s="30">
        <f>3011</f>
        <v>3011</v>
      </c>
      <c r="V113" s="30">
        <f>291852505</f>
        <v>291852505</v>
      </c>
      <c r="W113" s="30">
        <f>115674255</f>
        <v>115674255</v>
      </c>
      <c r="X113" s="34">
        <f>22</f>
        <v>22</v>
      </c>
    </row>
    <row r="114" spans="1:24">
      <c r="A114" s="25" t="s">
        <v>1185</v>
      </c>
      <c r="B114" s="25" t="s">
        <v>317</v>
      </c>
      <c r="C114" s="25" t="s">
        <v>318</v>
      </c>
      <c r="D114" s="25" t="s">
        <v>319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23655</f>
        <v>23655</v>
      </c>
      <c r="L114" s="32" t="s">
        <v>1110</v>
      </c>
      <c r="M114" s="31">
        <f>24620</f>
        <v>24620</v>
      </c>
      <c r="N114" s="32" t="s">
        <v>1116</v>
      </c>
      <c r="O114" s="31">
        <f>21255</f>
        <v>21255</v>
      </c>
      <c r="P114" s="32" t="s">
        <v>679</v>
      </c>
      <c r="Q114" s="31">
        <f>22220</f>
        <v>22220</v>
      </c>
      <c r="R114" s="32" t="s">
        <v>681</v>
      </c>
      <c r="S114" s="33">
        <f>23068.41</f>
        <v>23068.41</v>
      </c>
      <c r="T114" s="30">
        <f>18809</f>
        <v>18809</v>
      </c>
      <c r="U114" s="30">
        <f>48</f>
        <v>48</v>
      </c>
      <c r="V114" s="30">
        <f>437388898</f>
        <v>437388898</v>
      </c>
      <c r="W114" s="30">
        <f>1128703</f>
        <v>1128703</v>
      </c>
      <c r="X114" s="34">
        <f>22</f>
        <v>22</v>
      </c>
    </row>
    <row r="115" spans="1:24">
      <c r="A115" s="25" t="s">
        <v>1185</v>
      </c>
      <c r="B115" s="25" t="s">
        <v>320</v>
      </c>
      <c r="C115" s="25" t="s">
        <v>321</v>
      </c>
      <c r="D115" s="25" t="s">
        <v>322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30820</f>
        <v>30820</v>
      </c>
      <c r="L115" s="32" t="s">
        <v>1110</v>
      </c>
      <c r="M115" s="31">
        <f>31460</f>
        <v>31460</v>
      </c>
      <c r="N115" s="32" t="s">
        <v>682</v>
      </c>
      <c r="O115" s="31">
        <f>29900</f>
        <v>29900</v>
      </c>
      <c r="P115" s="32" t="s">
        <v>679</v>
      </c>
      <c r="Q115" s="31">
        <f>31300</f>
        <v>31300</v>
      </c>
      <c r="R115" s="32" t="s">
        <v>681</v>
      </c>
      <c r="S115" s="33">
        <f>30935.91</f>
        <v>30935.91</v>
      </c>
      <c r="T115" s="30">
        <f>4640</f>
        <v>4640</v>
      </c>
      <c r="U115" s="30" t="str">
        <f>"－"</f>
        <v>－</v>
      </c>
      <c r="V115" s="30">
        <f>143018730</f>
        <v>143018730</v>
      </c>
      <c r="W115" s="30" t="str">
        <f>"－"</f>
        <v>－</v>
      </c>
      <c r="X115" s="34">
        <f>22</f>
        <v>22</v>
      </c>
    </row>
    <row r="116" spans="1:24">
      <c r="A116" s="25" t="s">
        <v>1185</v>
      </c>
      <c r="B116" s="25" t="s">
        <v>323</v>
      </c>
      <c r="C116" s="25" t="s">
        <v>324</v>
      </c>
      <c r="D116" s="25" t="s">
        <v>325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32170</f>
        <v>32170</v>
      </c>
      <c r="L116" s="32" t="s">
        <v>1110</v>
      </c>
      <c r="M116" s="31">
        <f>32900</f>
        <v>32900</v>
      </c>
      <c r="N116" s="32" t="s">
        <v>759</v>
      </c>
      <c r="O116" s="31">
        <f>30780</f>
        <v>30780</v>
      </c>
      <c r="P116" s="32" t="s">
        <v>676</v>
      </c>
      <c r="Q116" s="31">
        <f>32000</f>
        <v>32000</v>
      </c>
      <c r="R116" s="32" t="s">
        <v>681</v>
      </c>
      <c r="S116" s="33">
        <f>32157.73</f>
        <v>32157.73</v>
      </c>
      <c r="T116" s="30">
        <f>4795</f>
        <v>4795</v>
      </c>
      <c r="U116" s="30">
        <f>1</f>
        <v>1</v>
      </c>
      <c r="V116" s="30">
        <f>154470940</f>
        <v>154470940</v>
      </c>
      <c r="W116" s="30">
        <f>31800</f>
        <v>31800</v>
      </c>
      <c r="X116" s="34">
        <f>22</f>
        <v>22</v>
      </c>
    </row>
    <row r="117" spans="1:24">
      <c r="A117" s="25" t="s">
        <v>1185</v>
      </c>
      <c r="B117" s="25" t="s">
        <v>326</v>
      </c>
      <c r="C117" s="25" t="s">
        <v>327</v>
      </c>
      <c r="D117" s="25" t="s">
        <v>328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28735</f>
        <v>28735</v>
      </c>
      <c r="L117" s="32" t="s">
        <v>1110</v>
      </c>
      <c r="M117" s="31">
        <f>30680</f>
        <v>30680</v>
      </c>
      <c r="N117" s="32" t="s">
        <v>681</v>
      </c>
      <c r="O117" s="31">
        <f>28725</f>
        <v>28725</v>
      </c>
      <c r="P117" s="32" t="s">
        <v>1110</v>
      </c>
      <c r="Q117" s="31">
        <f>30680</f>
        <v>30680</v>
      </c>
      <c r="R117" s="32" t="s">
        <v>681</v>
      </c>
      <c r="S117" s="33">
        <f>29849.09</f>
        <v>29849.09</v>
      </c>
      <c r="T117" s="30">
        <f>7498</f>
        <v>7498</v>
      </c>
      <c r="U117" s="30">
        <f>32</f>
        <v>32</v>
      </c>
      <c r="V117" s="30">
        <f>222488293</f>
        <v>222488293</v>
      </c>
      <c r="W117" s="30">
        <f>955273</f>
        <v>955273</v>
      </c>
      <c r="X117" s="34">
        <f>22</f>
        <v>22</v>
      </c>
    </row>
    <row r="118" spans="1:24">
      <c r="A118" s="25" t="s">
        <v>1185</v>
      </c>
      <c r="B118" s="25" t="s">
        <v>329</v>
      </c>
      <c r="C118" s="25" t="s">
        <v>330</v>
      </c>
      <c r="D118" s="25" t="s">
        <v>331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35370</f>
        <v>35370</v>
      </c>
      <c r="L118" s="32" t="s">
        <v>1110</v>
      </c>
      <c r="M118" s="31">
        <f>36200</f>
        <v>36200</v>
      </c>
      <c r="N118" s="32" t="s">
        <v>675</v>
      </c>
      <c r="O118" s="31">
        <f>31340</f>
        <v>31340</v>
      </c>
      <c r="P118" s="32" t="s">
        <v>676</v>
      </c>
      <c r="Q118" s="31">
        <f>32280</f>
        <v>32280</v>
      </c>
      <c r="R118" s="32" t="s">
        <v>681</v>
      </c>
      <c r="S118" s="33">
        <f>34033.64</f>
        <v>34033.64</v>
      </c>
      <c r="T118" s="30">
        <f>19141</f>
        <v>19141</v>
      </c>
      <c r="U118" s="30">
        <f>162</f>
        <v>162</v>
      </c>
      <c r="V118" s="30">
        <f>658171205</f>
        <v>658171205</v>
      </c>
      <c r="W118" s="30">
        <f>5448365</f>
        <v>5448365</v>
      </c>
      <c r="X118" s="34">
        <f>22</f>
        <v>22</v>
      </c>
    </row>
    <row r="119" spans="1:24">
      <c r="A119" s="25" t="s">
        <v>1185</v>
      </c>
      <c r="B119" s="25" t="s">
        <v>332</v>
      </c>
      <c r="C119" s="25" t="s">
        <v>333</v>
      </c>
      <c r="D119" s="25" t="s">
        <v>334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27710</f>
        <v>27710</v>
      </c>
      <c r="L119" s="32" t="s">
        <v>1110</v>
      </c>
      <c r="M119" s="31">
        <f>28320</f>
        <v>28320</v>
      </c>
      <c r="N119" s="32" t="s">
        <v>674</v>
      </c>
      <c r="O119" s="31">
        <f>24965</f>
        <v>24965</v>
      </c>
      <c r="P119" s="32" t="s">
        <v>676</v>
      </c>
      <c r="Q119" s="31">
        <f>26075</f>
        <v>26075</v>
      </c>
      <c r="R119" s="32" t="s">
        <v>681</v>
      </c>
      <c r="S119" s="33">
        <f>26950</f>
        <v>26950</v>
      </c>
      <c r="T119" s="30">
        <f>9329</f>
        <v>9329</v>
      </c>
      <c r="U119" s="30">
        <f>4002</f>
        <v>4002</v>
      </c>
      <c r="V119" s="30">
        <f>250059063</f>
        <v>250059063</v>
      </c>
      <c r="W119" s="30">
        <f>105689498</f>
        <v>105689498</v>
      </c>
      <c r="X119" s="34">
        <f>22</f>
        <v>22</v>
      </c>
    </row>
    <row r="120" spans="1:24">
      <c r="A120" s="25" t="s">
        <v>1185</v>
      </c>
      <c r="B120" s="25" t="s">
        <v>335</v>
      </c>
      <c r="C120" s="25" t="s">
        <v>336</v>
      </c>
      <c r="D120" s="25" t="s">
        <v>337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62180</f>
        <v>62180</v>
      </c>
      <c r="L120" s="32" t="s">
        <v>1110</v>
      </c>
      <c r="M120" s="31">
        <f>65220</f>
        <v>65220</v>
      </c>
      <c r="N120" s="32" t="s">
        <v>876</v>
      </c>
      <c r="O120" s="31">
        <f>56370</f>
        <v>56370</v>
      </c>
      <c r="P120" s="32" t="s">
        <v>679</v>
      </c>
      <c r="Q120" s="31">
        <f>58330</f>
        <v>58330</v>
      </c>
      <c r="R120" s="32" t="s">
        <v>681</v>
      </c>
      <c r="S120" s="33">
        <f>61601.82</f>
        <v>61601.82</v>
      </c>
      <c r="T120" s="30">
        <f>5254</f>
        <v>5254</v>
      </c>
      <c r="U120" s="30">
        <f>58</f>
        <v>58</v>
      </c>
      <c r="V120" s="30">
        <f>327044360</f>
        <v>327044360</v>
      </c>
      <c r="W120" s="30">
        <f>3460800</f>
        <v>3460800</v>
      </c>
      <c r="X120" s="34">
        <f>22</f>
        <v>22</v>
      </c>
    </row>
    <row r="121" spans="1:24">
      <c r="A121" s="25" t="s">
        <v>1185</v>
      </c>
      <c r="B121" s="25" t="s">
        <v>338</v>
      </c>
      <c r="C121" s="25" t="s">
        <v>339</v>
      </c>
      <c r="D121" s="25" t="s">
        <v>340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39910</f>
        <v>39910</v>
      </c>
      <c r="L121" s="32" t="s">
        <v>1110</v>
      </c>
      <c r="M121" s="31">
        <f>42480</f>
        <v>42480</v>
      </c>
      <c r="N121" s="32" t="s">
        <v>759</v>
      </c>
      <c r="O121" s="31">
        <f>36480</f>
        <v>36480</v>
      </c>
      <c r="P121" s="32" t="s">
        <v>676</v>
      </c>
      <c r="Q121" s="31">
        <f>38120</f>
        <v>38120</v>
      </c>
      <c r="R121" s="32" t="s">
        <v>681</v>
      </c>
      <c r="S121" s="33">
        <f>39856.36</f>
        <v>39856.36</v>
      </c>
      <c r="T121" s="30">
        <f>12814</f>
        <v>12814</v>
      </c>
      <c r="U121" s="30">
        <f>21</f>
        <v>21</v>
      </c>
      <c r="V121" s="30">
        <f>516094880</f>
        <v>516094880</v>
      </c>
      <c r="W121" s="30">
        <f>848370</f>
        <v>848370</v>
      </c>
      <c r="X121" s="34">
        <f>22</f>
        <v>22</v>
      </c>
    </row>
    <row r="122" spans="1:24">
      <c r="A122" s="25" t="s">
        <v>1185</v>
      </c>
      <c r="B122" s="25" t="s">
        <v>341</v>
      </c>
      <c r="C122" s="25" t="s">
        <v>342</v>
      </c>
      <c r="D122" s="25" t="s">
        <v>343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35640</f>
        <v>35640</v>
      </c>
      <c r="L122" s="32" t="s">
        <v>1110</v>
      </c>
      <c r="M122" s="31">
        <f>37150</f>
        <v>37150</v>
      </c>
      <c r="N122" s="32" t="s">
        <v>759</v>
      </c>
      <c r="O122" s="31">
        <f>34180</f>
        <v>34180</v>
      </c>
      <c r="P122" s="32" t="s">
        <v>676</v>
      </c>
      <c r="Q122" s="31">
        <f>34920</f>
        <v>34920</v>
      </c>
      <c r="R122" s="32" t="s">
        <v>681</v>
      </c>
      <c r="S122" s="33">
        <f>35862.73</f>
        <v>35862.730000000003</v>
      </c>
      <c r="T122" s="30">
        <f>6634</f>
        <v>6634</v>
      </c>
      <c r="U122" s="30">
        <f>4</f>
        <v>4</v>
      </c>
      <c r="V122" s="30">
        <f>241778645</f>
        <v>241778645</v>
      </c>
      <c r="W122" s="30">
        <f>144065</f>
        <v>144065</v>
      </c>
      <c r="X122" s="34">
        <f>22</f>
        <v>22</v>
      </c>
    </row>
    <row r="123" spans="1:24">
      <c r="A123" s="25" t="s">
        <v>1185</v>
      </c>
      <c r="B123" s="25" t="s">
        <v>344</v>
      </c>
      <c r="C123" s="25" t="s">
        <v>345</v>
      </c>
      <c r="D123" s="25" t="s">
        <v>346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9993</f>
        <v>9993</v>
      </c>
      <c r="L123" s="32" t="s">
        <v>1110</v>
      </c>
      <c r="M123" s="31">
        <f>10020</f>
        <v>10020</v>
      </c>
      <c r="N123" s="32" t="s">
        <v>675</v>
      </c>
      <c r="O123" s="31">
        <f>8999</f>
        <v>8999</v>
      </c>
      <c r="P123" s="32" t="s">
        <v>676</v>
      </c>
      <c r="Q123" s="31">
        <f>9360</f>
        <v>9360</v>
      </c>
      <c r="R123" s="32" t="s">
        <v>681</v>
      </c>
      <c r="S123" s="33">
        <f>9593.14</f>
        <v>9593.14</v>
      </c>
      <c r="T123" s="30">
        <f>92411</f>
        <v>92411</v>
      </c>
      <c r="U123" s="30">
        <f>5291</f>
        <v>5291</v>
      </c>
      <c r="V123" s="30">
        <f>888049704</f>
        <v>888049704</v>
      </c>
      <c r="W123" s="30">
        <f>51288106</f>
        <v>51288106</v>
      </c>
      <c r="X123" s="34">
        <f>22</f>
        <v>22</v>
      </c>
    </row>
    <row r="124" spans="1:24">
      <c r="A124" s="25" t="s">
        <v>1185</v>
      </c>
      <c r="B124" s="25" t="s">
        <v>347</v>
      </c>
      <c r="C124" s="25" t="s">
        <v>348</v>
      </c>
      <c r="D124" s="25" t="s">
        <v>349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18240</f>
        <v>18240</v>
      </c>
      <c r="L124" s="32" t="s">
        <v>1110</v>
      </c>
      <c r="M124" s="31">
        <f>18610</f>
        <v>18610</v>
      </c>
      <c r="N124" s="32" t="s">
        <v>675</v>
      </c>
      <c r="O124" s="31">
        <f>17630</f>
        <v>17630</v>
      </c>
      <c r="P124" s="32" t="s">
        <v>676</v>
      </c>
      <c r="Q124" s="31">
        <f>18290</f>
        <v>18290</v>
      </c>
      <c r="R124" s="32" t="s">
        <v>681</v>
      </c>
      <c r="S124" s="33">
        <f>18100</f>
        <v>18100</v>
      </c>
      <c r="T124" s="30">
        <f>17871</f>
        <v>17871</v>
      </c>
      <c r="U124" s="30">
        <f>5577</f>
        <v>5577</v>
      </c>
      <c r="V124" s="30">
        <f>323778827</f>
        <v>323778827</v>
      </c>
      <c r="W124" s="30">
        <f>101436367</f>
        <v>101436367</v>
      </c>
      <c r="X124" s="34">
        <f>22</f>
        <v>22</v>
      </c>
    </row>
    <row r="125" spans="1:24">
      <c r="A125" s="25" t="s">
        <v>1185</v>
      </c>
      <c r="B125" s="25" t="s">
        <v>350</v>
      </c>
      <c r="C125" s="25" t="s">
        <v>351</v>
      </c>
      <c r="D125" s="25" t="s">
        <v>352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92940</f>
        <v>92940</v>
      </c>
      <c r="L125" s="32" t="s">
        <v>1110</v>
      </c>
      <c r="M125" s="31">
        <f>96310</f>
        <v>96310</v>
      </c>
      <c r="N125" s="32" t="s">
        <v>674</v>
      </c>
      <c r="O125" s="31">
        <f>86880</f>
        <v>86880</v>
      </c>
      <c r="P125" s="32" t="s">
        <v>676</v>
      </c>
      <c r="Q125" s="31">
        <f>90170</f>
        <v>90170</v>
      </c>
      <c r="R125" s="32" t="s">
        <v>681</v>
      </c>
      <c r="S125" s="33">
        <f>92693.64</f>
        <v>92693.64</v>
      </c>
      <c r="T125" s="30">
        <f>32791</f>
        <v>32791</v>
      </c>
      <c r="U125" s="30">
        <f>6571</f>
        <v>6571</v>
      </c>
      <c r="V125" s="30">
        <f>3024077680</f>
        <v>3024077680</v>
      </c>
      <c r="W125" s="30">
        <f>602317630</f>
        <v>602317630</v>
      </c>
      <c r="X125" s="34">
        <f>22</f>
        <v>22</v>
      </c>
    </row>
    <row r="126" spans="1:24">
      <c r="A126" s="25" t="s">
        <v>1185</v>
      </c>
      <c r="B126" s="25" t="s">
        <v>1139</v>
      </c>
      <c r="C126" s="25" t="s">
        <v>1138</v>
      </c>
      <c r="D126" s="25" t="s">
        <v>1137</v>
      </c>
      <c r="E126" s="26" t="s">
        <v>43</v>
      </c>
      <c r="F126" s="27" t="s">
        <v>43</v>
      </c>
      <c r="G126" s="28" t="s">
        <v>43</v>
      </c>
      <c r="H126" s="29"/>
      <c r="I126" s="29" t="s">
        <v>465</v>
      </c>
      <c r="J126" s="30">
        <v>1</v>
      </c>
      <c r="K126" s="31">
        <f>10530</f>
        <v>10530</v>
      </c>
      <c r="L126" s="32" t="s">
        <v>1110</v>
      </c>
      <c r="M126" s="31">
        <f>11195</f>
        <v>11195</v>
      </c>
      <c r="N126" s="32" t="s">
        <v>684</v>
      </c>
      <c r="O126" s="31">
        <f>9916</f>
        <v>9916</v>
      </c>
      <c r="P126" s="32" t="s">
        <v>676</v>
      </c>
      <c r="Q126" s="31">
        <f>10175</f>
        <v>10175</v>
      </c>
      <c r="R126" s="32" t="s">
        <v>681</v>
      </c>
      <c r="S126" s="33">
        <f>10597.27</f>
        <v>10597.27</v>
      </c>
      <c r="T126" s="30">
        <f>31491</f>
        <v>31491</v>
      </c>
      <c r="U126" s="30" t="str">
        <f>"－"</f>
        <v>－</v>
      </c>
      <c r="V126" s="30">
        <f>334328371</f>
        <v>334328371</v>
      </c>
      <c r="W126" s="30" t="str">
        <f>"－"</f>
        <v>－</v>
      </c>
      <c r="X126" s="34">
        <f>22</f>
        <v>22</v>
      </c>
    </row>
    <row r="127" spans="1:24">
      <c r="A127" s="25" t="s">
        <v>1185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28800</f>
        <v>28800</v>
      </c>
      <c r="L127" s="32" t="s">
        <v>1110</v>
      </c>
      <c r="M127" s="31">
        <f>30000</f>
        <v>30000</v>
      </c>
      <c r="N127" s="32" t="s">
        <v>684</v>
      </c>
      <c r="O127" s="31">
        <f>28045</f>
        <v>28045</v>
      </c>
      <c r="P127" s="32" t="s">
        <v>676</v>
      </c>
      <c r="Q127" s="31">
        <f>28880</f>
        <v>28880</v>
      </c>
      <c r="R127" s="32" t="s">
        <v>681</v>
      </c>
      <c r="S127" s="33">
        <f>28863.41</f>
        <v>28863.41</v>
      </c>
      <c r="T127" s="30">
        <f>9950</f>
        <v>9950</v>
      </c>
      <c r="U127" s="30">
        <f>2</f>
        <v>2</v>
      </c>
      <c r="V127" s="30">
        <f>289220685</f>
        <v>289220685</v>
      </c>
      <c r="W127" s="30">
        <f>57355</f>
        <v>57355</v>
      </c>
      <c r="X127" s="34">
        <f>22</f>
        <v>22</v>
      </c>
    </row>
    <row r="128" spans="1:24">
      <c r="A128" s="25" t="s">
        <v>1185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19635</f>
        <v>19635</v>
      </c>
      <c r="L128" s="32" t="s">
        <v>1110</v>
      </c>
      <c r="M128" s="31">
        <f>20430</f>
        <v>20430</v>
      </c>
      <c r="N128" s="32" t="s">
        <v>674</v>
      </c>
      <c r="O128" s="31">
        <f>18425</f>
        <v>18425</v>
      </c>
      <c r="P128" s="32" t="s">
        <v>676</v>
      </c>
      <c r="Q128" s="31">
        <f>19640</f>
        <v>19640</v>
      </c>
      <c r="R128" s="32" t="s">
        <v>681</v>
      </c>
      <c r="S128" s="33">
        <f>19559.77</f>
        <v>19559.77</v>
      </c>
      <c r="T128" s="30">
        <f>279238</f>
        <v>279238</v>
      </c>
      <c r="U128" s="30">
        <f>166999</f>
        <v>166999</v>
      </c>
      <c r="V128" s="30">
        <f>5509261463</f>
        <v>5509261463</v>
      </c>
      <c r="W128" s="30">
        <f>3323497793</f>
        <v>3323497793</v>
      </c>
      <c r="X128" s="34">
        <f>22</f>
        <v>22</v>
      </c>
    </row>
    <row r="129" spans="1:24">
      <c r="A129" s="25" t="s">
        <v>1185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29385</f>
        <v>29385</v>
      </c>
      <c r="L129" s="32" t="s">
        <v>1110</v>
      </c>
      <c r="M129" s="31">
        <f>31230</f>
        <v>31230</v>
      </c>
      <c r="N129" s="32" t="s">
        <v>684</v>
      </c>
      <c r="O129" s="31">
        <f>27000</f>
        <v>27000</v>
      </c>
      <c r="P129" s="32" t="s">
        <v>679</v>
      </c>
      <c r="Q129" s="31">
        <f>29630</f>
        <v>29630</v>
      </c>
      <c r="R129" s="32" t="s">
        <v>681</v>
      </c>
      <c r="S129" s="33">
        <f>29654.55</f>
        <v>29654.55</v>
      </c>
      <c r="T129" s="30">
        <f>129464</f>
        <v>129464</v>
      </c>
      <c r="U129" s="30">
        <f>86</f>
        <v>86</v>
      </c>
      <c r="V129" s="30">
        <f>3759326714</f>
        <v>3759326714</v>
      </c>
      <c r="W129" s="30">
        <f>2585794</f>
        <v>2585794</v>
      </c>
      <c r="X129" s="34">
        <f>22</f>
        <v>22</v>
      </c>
    </row>
    <row r="130" spans="1:24">
      <c r="A130" s="25" t="s">
        <v>1185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40450</f>
        <v>40450</v>
      </c>
      <c r="L130" s="32" t="s">
        <v>1110</v>
      </c>
      <c r="M130" s="31">
        <f>42360</f>
        <v>42360</v>
      </c>
      <c r="N130" s="32" t="s">
        <v>678</v>
      </c>
      <c r="O130" s="31">
        <f>39600</f>
        <v>39600</v>
      </c>
      <c r="P130" s="32" t="s">
        <v>676</v>
      </c>
      <c r="Q130" s="31">
        <f>41680</f>
        <v>41680</v>
      </c>
      <c r="R130" s="32" t="s">
        <v>681</v>
      </c>
      <c r="S130" s="33">
        <f>41040</f>
        <v>41040</v>
      </c>
      <c r="T130" s="30">
        <f>9948</f>
        <v>9948</v>
      </c>
      <c r="U130" s="30">
        <f>90</f>
        <v>90</v>
      </c>
      <c r="V130" s="30">
        <f>408367595</f>
        <v>408367595</v>
      </c>
      <c r="W130" s="30">
        <f>3642065</f>
        <v>3642065</v>
      </c>
      <c r="X130" s="34">
        <f>22</f>
        <v>22</v>
      </c>
    </row>
    <row r="131" spans="1:24">
      <c r="A131" s="25" t="s">
        <v>1185</v>
      </c>
      <c r="B131" s="25" t="s">
        <v>1136</v>
      </c>
      <c r="C131" s="25" t="s">
        <v>1135</v>
      </c>
      <c r="D131" s="25" t="s">
        <v>1134</v>
      </c>
      <c r="E131" s="26" t="s">
        <v>43</v>
      </c>
      <c r="F131" s="27" t="s">
        <v>43</v>
      </c>
      <c r="G131" s="28" t="s">
        <v>43</v>
      </c>
      <c r="H131" s="29"/>
      <c r="I131" s="29" t="s">
        <v>465</v>
      </c>
      <c r="J131" s="30">
        <v>1</v>
      </c>
      <c r="K131" s="31">
        <f>10195</f>
        <v>10195</v>
      </c>
      <c r="L131" s="32" t="s">
        <v>1110</v>
      </c>
      <c r="M131" s="31">
        <f>11000</f>
        <v>11000</v>
      </c>
      <c r="N131" s="32" t="s">
        <v>684</v>
      </c>
      <c r="O131" s="31">
        <f>8791</f>
        <v>8791</v>
      </c>
      <c r="P131" s="32" t="s">
        <v>676</v>
      </c>
      <c r="Q131" s="31">
        <f>9339</f>
        <v>9339</v>
      </c>
      <c r="R131" s="32" t="s">
        <v>681</v>
      </c>
      <c r="S131" s="33">
        <f>9984.82</f>
        <v>9984.82</v>
      </c>
      <c r="T131" s="30">
        <f>201330</f>
        <v>201330</v>
      </c>
      <c r="U131" s="30">
        <f>17008</f>
        <v>17008</v>
      </c>
      <c r="V131" s="30">
        <f>2025902757</f>
        <v>2025902757</v>
      </c>
      <c r="W131" s="30">
        <f>174007250</f>
        <v>174007250</v>
      </c>
      <c r="X131" s="34">
        <f>22</f>
        <v>22</v>
      </c>
    </row>
    <row r="132" spans="1:24">
      <c r="A132" s="25" t="s">
        <v>1185</v>
      </c>
      <c r="B132" s="25" t="s">
        <v>365</v>
      </c>
      <c r="C132" s="25" t="s">
        <v>926</v>
      </c>
      <c r="D132" s="25" t="s">
        <v>927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2109</f>
        <v>2109</v>
      </c>
      <c r="L132" s="32" t="s">
        <v>1110</v>
      </c>
      <c r="M132" s="31">
        <f>2198</f>
        <v>2198</v>
      </c>
      <c r="N132" s="32" t="s">
        <v>684</v>
      </c>
      <c r="O132" s="31">
        <f>2023</f>
        <v>2023</v>
      </c>
      <c r="P132" s="32" t="s">
        <v>676</v>
      </c>
      <c r="Q132" s="31">
        <f>2102</f>
        <v>2102</v>
      </c>
      <c r="R132" s="32" t="s">
        <v>681</v>
      </c>
      <c r="S132" s="33">
        <f>2131.55</f>
        <v>2131.5500000000002</v>
      </c>
      <c r="T132" s="30">
        <f>917957</f>
        <v>917957</v>
      </c>
      <c r="U132" s="30">
        <f>461694</f>
        <v>461694</v>
      </c>
      <c r="V132" s="30">
        <f>1934777331</f>
        <v>1934777331</v>
      </c>
      <c r="W132" s="30">
        <f>969519121</f>
        <v>969519121</v>
      </c>
      <c r="X132" s="34">
        <f>22</f>
        <v>22</v>
      </c>
    </row>
    <row r="133" spans="1:24">
      <c r="A133" s="25" t="s">
        <v>1185</v>
      </c>
      <c r="B133" s="25" t="s">
        <v>366</v>
      </c>
      <c r="C133" s="25" t="s">
        <v>928</v>
      </c>
      <c r="D133" s="25" t="s">
        <v>929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3365</f>
        <v>3365</v>
      </c>
      <c r="L133" s="32" t="s">
        <v>1110</v>
      </c>
      <c r="M133" s="31">
        <f>3500</f>
        <v>3500</v>
      </c>
      <c r="N133" s="32" t="s">
        <v>684</v>
      </c>
      <c r="O133" s="31">
        <f>3234</f>
        <v>3234</v>
      </c>
      <c r="P133" s="32" t="s">
        <v>679</v>
      </c>
      <c r="Q133" s="31">
        <f>3272</f>
        <v>3272</v>
      </c>
      <c r="R133" s="32" t="s">
        <v>777</v>
      </c>
      <c r="S133" s="33">
        <f>3390.05</f>
        <v>3390.05</v>
      </c>
      <c r="T133" s="30">
        <f>24650</f>
        <v>24650</v>
      </c>
      <c r="U133" s="30" t="str">
        <f>"－"</f>
        <v>－</v>
      </c>
      <c r="V133" s="30">
        <f>82460190</f>
        <v>82460190</v>
      </c>
      <c r="W133" s="30" t="str">
        <f>"－"</f>
        <v>－</v>
      </c>
      <c r="X133" s="34">
        <f>19</f>
        <v>19</v>
      </c>
    </row>
    <row r="134" spans="1:24">
      <c r="A134" s="25" t="s">
        <v>1185</v>
      </c>
      <c r="B134" s="25" t="s">
        <v>367</v>
      </c>
      <c r="C134" s="25" t="s">
        <v>930</v>
      </c>
      <c r="D134" s="25" t="s">
        <v>931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3650</f>
        <v>3650</v>
      </c>
      <c r="L134" s="32" t="s">
        <v>1110</v>
      </c>
      <c r="M134" s="31">
        <f>3770</f>
        <v>3770</v>
      </c>
      <c r="N134" s="32" t="s">
        <v>684</v>
      </c>
      <c r="O134" s="31">
        <f>3386</f>
        <v>3386</v>
      </c>
      <c r="P134" s="32" t="s">
        <v>676</v>
      </c>
      <c r="Q134" s="31">
        <f>3522</f>
        <v>3522</v>
      </c>
      <c r="R134" s="32" t="s">
        <v>681</v>
      </c>
      <c r="S134" s="33">
        <f>3664.67</f>
        <v>3664.67</v>
      </c>
      <c r="T134" s="30">
        <f>48440</f>
        <v>48440</v>
      </c>
      <c r="U134" s="30">
        <f>18540</f>
        <v>18540</v>
      </c>
      <c r="V134" s="30">
        <f>178063240</f>
        <v>178063240</v>
      </c>
      <c r="W134" s="30">
        <f>69581850</f>
        <v>69581850</v>
      </c>
      <c r="X134" s="34">
        <f>21</f>
        <v>21</v>
      </c>
    </row>
    <row r="135" spans="1:24">
      <c r="A135" s="25" t="s">
        <v>1185</v>
      </c>
      <c r="B135" s="25" t="s">
        <v>368</v>
      </c>
      <c r="C135" s="25" t="s">
        <v>932</v>
      </c>
      <c r="D135" s="25" t="s">
        <v>933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2300</f>
        <v>2300</v>
      </c>
      <c r="L135" s="32" t="s">
        <v>1110</v>
      </c>
      <c r="M135" s="31">
        <f>2382.5</f>
        <v>2382.5</v>
      </c>
      <c r="N135" s="32" t="s">
        <v>684</v>
      </c>
      <c r="O135" s="31">
        <f>2187</f>
        <v>2187</v>
      </c>
      <c r="P135" s="32" t="s">
        <v>679</v>
      </c>
      <c r="Q135" s="31">
        <f>2205</f>
        <v>2205</v>
      </c>
      <c r="R135" s="32" t="s">
        <v>883</v>
      </c>
      <c r="S135" s="33">
        <f>2311.53</f>
        <v>2311.5300000000002</v>
      </c>
      <c r="T135" s="30">
        <f>22130</f>
        <v>22130</v>
      </c>
      <c r="U135" s="30" t="str">
        <f>"－"</f>
        <v>－</v>
      </c>
      <c r="V135" s="30">
        <f>50852350</f>
        <v>50852350</v>
      </c>
      <c r="W135" s="30" t="str">
        <f>"－"</f>
        <v>－</v>
      </c>
      <c r="X135" s="34">
        <f>15</f>
        <v>15</v>
      </c>
    </row>
    <row r="136" spans="1:24">
      <c r="A136" s="25" t="s">
        <v>1185</v>
      </c>
      <c r="B136" s="25" t="s">
        <v>369</v>
      </c>
      <c r="C136" s="25" t="s">
        <v>370</v>
      </c>
      <c r="D136" s="25" t="s">
        <v>371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639.2</f>
        <v>639.20000000000005</v>
      </c>
      <c r="L136" s="32" t="s">
        <v>1110</v>
      </c>
      <c r="M136" s="31">
        <f>657.9</f>
        <v>657.9</v>
      </c>
      <c r="N136" s="32" t="s">
        <v>684</v>
      </c>
      <c r="O136" s="31">
        <f>596</f>
        <v>596</v>
      </c>
      <c r="P136" s="32" t="s">
        <v>681</v>
      </c>
      <c r="Q136" s="31">
        <f>604.8</f>
        <v>604.79999999999995</v>
      </c>
      <c r="R136" s="32" t="s">
        <v>681</v>
      </c>
      <c r="S136" s="33">
        <f>632.06</f>
        <v>632.05999999999995</v>
      </c>
      <c r="T136" s="30">
        <f>59690310</f>
        <v>59690310</v>
      </c>
      <c r="U136" s="30">
        <f>3107180</f>
        <v>3107180</v>
      </c>
      <c r="V136" s="30">
        <f>37619817810</f>
        <v>37619817810</v>
      </c>
      <c r="W136" s="30">
        <f>1972994782</f>
        <v>1972994782</v>
      </c>
      <c r="X136" s="34">
        <f>22</f>
        <v>22</v>
      </c>
    </row>
    <row r="137" spans="1:24">
      <c r="A137" s="25" t="s">
        <v>1185</v>
      </c>
      <c r="B137" s="25" t="s">
        <v>372</v>
      </c>
      <c r="C137" s="25" t="s">
        <v>373</v>
      </c>
      <c r="D137" s="25" t="s">
        <v>374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316.4</f>
        <v>316.39999999999998</v>
      </c>
      <c r="L137" s="32" t="s">
        <v>1110</v>
      </c>
      <c r="M137" s="31">
        <f>320.3</f>
        <v>320.3</v>
      </c>
      <c r="N137" s="32" t="s">
        <v>876</v>
      </c>
      <c r="O137" s="31">
        <f>299.2</f>
        <v>299.2</v>
      </c>
      <c r="P137" s="32" t="s">
        <v>679</v>
      </c>
      <c r="Q137" s="31">
        <f>303.5</f>
        <v>303.5</v>
      </c>
      <c r="R137" s="32" t="s">
        <v>681</v>
      </c>
      <c r="S137" s="33">
        <f>311.18</f>
        <v>311.18</v>
      </c>
      <c r="T137" s="30">
        <f>34602650</f>
        <v>34602650</v>
      </c>
      <c r="U137" s="30">
        <f>28253630</f>
        <v>28253630</v>
      </c>
      <c r="V137" s="30">
        <f>10835166749</f>
        <v>10835166749</v>
      </c>
      <c r="W137" s="30">
        <f>8866800261</f>
        <v>8866800261</v>
      </c>
      <c r="X137" s="34">
        <f>22</f>
        <v>22</v>
      </c>
    </row>
    <row r="138" spans="1:24">
      <c r="A138" s="25" t="s">
        <v>1185</v>
      </c>
      <c r="B138" s="25" t="s">
        <v>375</v>
      </c>
      <c r="C138" s="25" t="s">
        <v>973</v>
      </c>
      <c r="D138" s="25" t="s">
        <v>376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5310</f>
        <v>5310</v>
      </c>
      <c r="L138" s="32" t="s">
        <v>1110</v>
      </c>
      <c r="M138" s="31">
        <f>5490</f>
        <v>5490</v>
      </c>
      <c r="N138" s="32" t="s">
        <v>684</v>
      </c>
      <c r="O138" s="31">
        <f>5000</f>
        <v>5000</v>
      </c>
      <c r="P138" s="32" t="s">
        <v>681</v>
      </c>
      <c r="Q138" s="31">
        <f>5060</f>
        <v>5060</v>
      </c>
      <c r="R138" s="32" t="s">
        <v>681</v>
      </c>
      <c r="S138" s="33">
        <f>5282.73</f>
        <v>5282.73</v>
      </c>
      <c r="T138" s="30">
        <f>181835</f>
        <v>181835</v>
      </c>
      <c r="U138" s="30">
        <f>104990</f>
        <v>104990</v>
      </c>
      <c r="V138" s="30">
        <f>937492434</f>
        <v>937492434</v>
      </c>
      <c r="W138" s="30">
        <f>531267994</f>
        <v>531267994</v>
      </c>
      <c r="X138" s="34">
        <f>22</f>
        <v>22</v>
      </c>
    </row>
    <row r="139" spans="1:24">
      <c r="A139" s="25" t="s">
        <v>1185</v>
      </c>
      <c r="B139" s="25" t="s">
        <v>377</v>
      </c>
      <c r="C139" s="25" t="s">
        <v>378</v>
      </c>
      <c r="D139" s="25" t="s">
        <v>379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2930</f>
        <v>2930</v>
      </c>
      <c r="L139" s="32" t="s">
        <v>1110</v>
      </c>
      <c r="M139" s="31">
        <f>3115</f>
        <v>3115</v>
      </c>
      <c r="N139" s="32" t="s">
        <v>675</v>
      </c>
      <c r="O139" s="31">
        <f>2730</f>
        <v>2730</v>
      </c>
      <c r="P139" s="32" t="s">
        <v>679</v>
      </c>
      <c r="Q139" s="31">
        <f>2755</f>
        <v>2755</v>
      </c>
      <c r="R139" s="32" t="s">
        <v>681</v>
      </c>
      <c r="S139" s="33">
        <f>2913.64</f>
        <v>2913.64</v>
      </c>
      <c r="T139" s="30">
        <f>181614</f>
        <v>181614</v>
      </c>
      <c r="U139" s="30">
        <f>54760</f>
        <v>54760</v>
      </c>
      <c r="V139" s="30">
        <f>525530448</f>
        <v>525530448</v>
      </c>
      <c r="W139" s="30">
        <f>156402377</f>
        <v>156402377</v>
      </c>
      <c r="X139" s="34">
        <f>22</f>
        <v>22</v>
      </c>
    </row>
    <row r="140" spans="1:24">
      <c r="A140" s="25" t="s">
        <v>1185</v>
      </c>
      <c r="B140" s="25" t="s">
        <v>380</v>
      </c>
      <c r="C140" s="25" t="s">
        <v>381</v>
      </c>
      <c r="D140" s="25" t="s">
        <v>382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3220</f>
        <v>3220</v>
      </c>
      <c r="L140" s="32" t="s">
        <v>1110</v>
      </c>
      <c r="M140" s="31">
        <f>3345</f>
        <v>3345</v>
      </c>
      <c r="N140" s="32" t="s">
        <v>682</v>
      </c>
      <c r="O140" s="31">
        <f>3180</f>
        <v>3180</v>
      </c>
      <c r="P140" s="32" t="s">
        <v>1113</v>
      </c>
      <c r="Q140" s="31">
        <f>3270</f>
        <v>3270</v>
      </c>
      <c r="R140" s="32" t="s">
        <v>681</v>
      </c>
      <c r="S140" s="33">
        <f>3257.05</f>
        <v>3257.05</v>
      </c>
      <c r="T140" s="30">
        <f>1254503</f>
        <v>1254503</v>
      </c>
      <c r="U140" s="30">
        <f>1073830</f>
        <v>1073830</v>
      </c>
      <c r="V140" s="30">
        <f>4102333124</f>
        <v>4102333124</v>
      </c>
      <c r="W140" s="30">
        <f>3514500314</f>
        <v>3514500314</v>
      </c>
      <c r="X140" s="34">
        <f>22</f>
        <v>22</v>
      </c>
    </row>
    <row r="141" spans="1:24">
      <c r="A141" s="25" t="s">
        <v>1185</v>
      </c>
      <c r="B141" s="25" t="s">
        <v>383</v>
      </c>
      <c r="C141" s="25" t="s">
        <v>384</v>
      </c>
      <c r="D141" s="25" t="s">
        <v>385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10020</f>
        <v>10020</v>
      </c>
      <c r="L141" s="32" t="s">
        <v>1110</v>
      </c>
      <c r="M141" s="31">
        <f>10025</f>
        <v>10025</v>
      </c>
      <c r="N141" s="32" t="s">
        <v>678</v>
      </c>
      <c r="O141" s="31">
        <f>9745</f>
        <v>9745</v>
      </c>
      <c r="P141" s="32" t="s">
        <v>679</v>
      </c>
      <c r="Q141" s="31">
        <f>9897</f>
        <v>9897</v>
      </c>
      <c r="R141" s="32" t="s">
        <v>681</v>
      </c>
      <c r="S141" s="33">
        <f>9872.86</f>
        <v>9872.86</v>
      </c>
      <c r="T141" s="30">
        <f>175432</f>
        <v>175432</v>
      </c>
      <c r="U141" s="30">
        <f>67400</f>
        <v>67400</v>
      </c>
      <c r="V141" s="30">
        <f>1728972207</f>
        <v>1728972207</v>
      </c>
      <c r="W141" s="30">
        <f>664587806</f>
        <v>664587806</v>
      </c>
      <c r="X141" s="34">
        <f>22</f>
        <v>22</v>
      </c>
    </row>
    <row r="142" spans="1:24">
      <c r="A142" s="25" t="s">
        <v>1185</v>
      </c>
      <c r="B142" s="25" t="s">
        <v>386</v>
      </c>
      <c r="C142" s="25" t="s">
        <v>387</v>
      </c>
      <c r="D142" s="25" t="s">
        <v>388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3525</f>
        <v>3525</v>
      </c>
      <c r="L142" s="32" t="s">
        <v>1110</v>
      </c>
      <c r="M142" s="31">
        <f>3645</f>
        <v>3645</v>
      </c>
      <c r="N142" s="32" t="s">
        <v>674</v>
      </c>
      <c r="O142" s="31">
        <f>3125</f>
        <v>3125</v>
      </c>
      <c r="P142" s="32" t="s">
        <v>681</v>
      </c>
      <c r="Q142" s="31">
        <f>3195</f>
        <v>3195</v>
      </c>
      <c r="R142" s="32" t="s">
        <v>681</v>
      </c>
      <c r="S142" s="33">
        <f>3442.27</f>
        <v>3442.27</v>
      </c>
      <c r="T142" s="30">
        <f>3286234</f>
        <v>3286234</v>
      </c>
      <c r="U142" s="30">
        <f>1332</f>
        <v>1332</v>
      </c>
      <c r="V142" s="30">
        <f>11197304748</f>
        <v>11197304748</v>
      </c>
      <c r="W142" s="30">
        <f>4721933</f>
        <v>4721933</v>
      </c>
      <c r="X142" s="34">
        <f>22</f>
        <v>22</v>
      </c>
    </row>
    <row r="143" spans="1:24">
      <c r="A143" s="25" t="s">
        <v>1185</v>
      </c>
      <c r="B143" s="25" t="s">
        <v>389</v>
      </c>
      <c r="C143" s="25" t="s">
        <v>390</v>
      </c>
      <c r="D143" s="25" t="s">
        <v>391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34990</f>
        <v>34990</v>
      </c>
      <c r="L143" s="32" t="s">
        <v>1110</v>
      </c>
      <c r="M143" s="31">
        <f>36710</f>
        <v>36710</v>
      </c>
      <c r="N143" s="32" t="s">
        <v>682</v>
      </c>
      <c r="O143" s="31">
        <f>33750</f>
        <v>33750</v>
      </c>
      <c r="P143" s="32" t="s">
        <v>679</v>
      </c>
      <c r="Q143" s="31">
        <f>34640</f>
        <v>34640</v>
      </c>
      <c r="R143" s="32" t="s">
        <v>681</v>
      </c>
      <c r="S143" s="33">
        <f>35307.27</f>
        <v>35307.269999999997</v>
      </c>
      <c r="T143" s="30">
        <f>11752</f>
        <v>11752</v>
      </c>
      <c r="U143" s="30">
        <f>10</f>
        <v>10</v>
      </c>
      <c r="V143" s="30">
        <f>414541660</f>
        <v>414541660</v>
      </c>
      <c r="W143" s="30">
        <f>353000</f>
        <v>353000</v>
      </c>
      <c r="X143" s="34">
        <f>22</f>
        <v>22</v>
      </c>
    </row>
    <row r="144" spans="1:24">
      <c r="A144" s="25" t="s">
        <v>1185</v>
      </c>
      <c r="B144" s="25" t="s">
        <v>392</v>
      </c>
      <c r="C144" s="25" t="s">
        <v>393</v>
      </c>
      <c r="D144" s="25" t="s">
        <v>394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10</v>
      </c>
      <c r="K144" s="31">
        <f>4393</f>
        <v>4393</v>
      </c>
      <c r="L144" s="32" t="s">
        <v>1110</v>
      </c>
      <c r="M144" s="31">
        <f>4633</f>
        <v>4633</v>
      </c>
      <c r="N144" s="32" t="s">
        <v>682</v>
      </c>
      <c r="O144" s="31">
        <f>3904</f>
        <v>3904</v>
      </c>
      <c r="P144" s="32" t="s">
        <v>679</v>
      </c>
      <c r="Q144" s="31">
        <f>4026</f>
        <v>4026</v>
      </c>
      <c r="R144" s="32" t="s">
        <v>681</v>
      </c>
      <c r="S144" s="33">
        <f>4321.5</f>
        <v>4321.5</v>
      </c>
      <c r="T144" s="30">
        <f>81080</f>
        <v>81080</v>
      </c>
      <c r="U144" s="30" t="str">
        <f>"－"</f>
        <v>－</v>
      </c>
      <c r="V144" s="30">
        <f>348845340</f>
        <v>348845340</v>
      </c>
      <c r="W144" s="30" t="str">
        <f>"－"</f>
        <v>－</v>
      </c>
      <c r="X144" s="34">
        <f>22</f>
        <v>22</v>
      </c>
    </row>
    <row r="145" spans="1:24">
      <c r="A145" s="25" t="s">
        <v>1185</v>
      </c>
      <c r="B145" s="25" t="s">
        <v>395</v>
      </c>
      <c r="C145" s="25" t="s">
        <v>396</v>
      </c>
      <c r="D145" s="25" t="s">
        <v>397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14765</f>
        <v>14765</v>
      </c>
      <c r="L145" s="32" t="s">
        <v>1110</v>
      </c>
      <c r="M145" s="31">
        <f>15575</f>
        <v>15575</v>
      </c>
      <c r="N145" s="32" t="s">
        <v>1113</v>
      </c>
      <c r="O145" s="31">
        <f>13140</f>
        <v>13140</v>
      </c>
      <c r="P145" s="32" t="s">
        <v>679</v>
      </c>
      <c r="Q145" s="31">
        <f>13635</f>
        <v>13635</v>
      </c>
      <c r="R145" s="32" t="s">
        <v>681</v>
      </c>
      <c r="S145" s="33">
        <f>14266.14</f>
        <v>14266.14</v>
      </c>
      <c r="T145" s="30">
        <f>9304</f>
        <v>9304</v>
      </c>
      <c r="U145" s="30" t="str">
        <f>"－"</f>
        <v>－</v>
      </c>
      <c r="V145" s="30">
        <f>131008320</f>
        <v>131008320</v>
      </c>
      <c r="W145" s="30" t="str">
        <f>"－"</f>
        <v>－</v>
      </c>
      <c r="X145" s="34">
        <f>22</f>
        <v>22</v>
      </c>
    </row>
    <row r="146" spans="1:24">
      <c r="A146" s="25" t="s">
        <v>1185</v>
      </c>
      <c r="B146" s="25" t="s">
        <v>398</v>
      </c>
      <c r="C146" s="25" t="s">
        <v>399</v>
      </c>
      <c r="D146" s="25" t="s">
        <v>400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14295</f>
        <v>14295</v>
      </c>
      <c r="L146" s="32" t="s">
        <v>1110</v>
      </c>
      <c r="M146" s="31">
        <f>15345</f>
        <v>15345</v>
      </c>
      <c r="N146" s="32" t="s">
        <v>675</v>
      </c>
      <c r="O146" s="31">
        <f>12610</f>
        <v>12610</v>
      </c>
      <c r="P146" s="32" t="s">
        <v>681</v>
      </c>
      <c r="Q146" s="31">
        <f>12650</f>
        <v>12650</v>
      </c>
      <c r="R146" s="32" t="s">
        <v>681</v>
      </c>
      <c r="S146" s="33">
        <f>13973.41</f>
        <v>13973.41</v>
      </c>
      <c r="T146" s="30">
        <f>13399</f>
        <v>13399</v>
      </c>
      <c r="U146" s="30" t="str">
        <f>"－"</f>
        <v>－</v>
      </c>
      <c r="V146" s="30">
        <f>188509990</f>
        <v>188509990</v>
      </c>
      <c r="W146" s="30" t="str">
        <f>"－"</f>
        <v>－</v>
      </c>
      <c r="X146" s="34">
        <f>22</f>
        <v>22</v>
      </c>
    </row>
    <row r="147" spans="1:24">
      <c r="A147" s="25" t="s">
        <v>1185</v>
      </c>
      <c r="B147" s="25" t="s">
        <v>401</v>
      </c>
      <c r="C147" s="25" t="s">
        <v>402</v>
      </c>
      <c r="D147" s="25" t="s">
        <v>403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23750</f>
        <v>23750</v>
      </c>
      <c r="L147" s="32" t="s">
        <v>1110</v>
      </c>
      <c r="M147" s="31">
        <f>24895</f>
        <v>24895</v>
      </c>
      <c r="N147" s="32" t="s">
        <v>675</v>
      </c>
      <c r="O147" s="31">
        <f>22200</f>
        <v>22200</v>
      </c>
      <c r="P147" s="32" t="s">
        <v>676</v>
      </c>
      <c r="Q147" s="31">
        <f>22420</f>
        <v>22420</v>
      </c>
      <c r="R147" s="32" t="s">
        <v>681</v>
      </c>
      <c r="S147" s="33">
        <f>23510.5</f>
        <v>23510.5</v>
      </c>
      <c r="T147" s="30">
        <f>547</f>
        <v>547</v>
      </c>
      <c r="U147" s="30" t="str">
        <f>"－"</f>
        <v>－</v>
      </c>
      <c r="V147" s="30">
        <f>12999495</f>
        <v>12999495</v>
      </c>
      <c r="W147" s="30" t="str">
        <f>"－"</f>
        <v>－</v>
      </c>
      <c r="X147" s="34">
        <f>20</f>
        <v>20</v>
      </c>
    </row>
    <row r="148" spans="1:24">
      <c r="A148" s="25" t="s">
        <v>1185</v>
      </c>
      <c r="B148" s="25" t="s">
        <v>404</v>
      </c>
      <c r="C148" s="25" t="s">
        <v>405</v>
      </c>
      <c r="D148" s="25" t="s">
        <v>406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58680</f>
        <v>58680</v>
      </c>
      <c r="L148" s="32" t="s">
        <v>1110</v>
      </c>
      <c r="M148" s="31">
        <f>59310</f>
        <v>59310</v>
      </c>
      <c r="N148" s="32" t="s">
        <v>684</v>
      </c>
      <c r="O148" s="31">
        <f>55500</f>
        <v>55500</v>
      </c>
      <c r="P148" s="32" t="s">
        <v>681</v>
      </c>
      <c r="Q148" s="31">
        <f>55500</f>
        <v>55500</v>
      </c>
      <c r="R148" s="32" t="s">
        <v>681</v>
      </c>
      <c r="S148" s="33">
        <f>58040</f>
        <v>58040</v>
      </c>
      <c r="T148" s="30">
        <f>55800</f>
        <v>55800</v>
      </c>
      <c r="U148" s="30">
        <f>52550</f>
        <v>52550</v>
      </c>
      <c r="V148" s="30">
        <f>3261489816</f>
        <v>3261489816</v>
      </c>
      <c r="W148" s="30">
        <f>3074072516</f>
        <v>3074072516</v>
      </c>
      <c r="X148" s="34">
        <f>22</f>
        <v>22</v>
      </c>
    </row>
    <row r="149" spans="1:24">
      <c r="A149" s="25" t="s">
        <v>1185</v>
      </c>
      <c r="B149" s="25" t="s">
        <v>407</v>
      </c>
      <c r="C149" s="25" t="s">
        <v>974</v>
      </c>
      <c r="D149" s="25" t="s">
        <v>408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401.7</f>
        <v>401.7</v>
      </c>
      <c r="L149" s="32" t="s">
        <v>1110</v>
      </c>
      <c r="M149" s="31">
        <f>410.4</f>
        <v>410.4</v>
      </c>
      <c r="N149" s="32" t="s">
        <v>675</v>
      </c>
      <c r="O149" s="31">
        <f>376.6</f>
        <v>376.6</v>
      </c>
      <c r="P149" s="32" t="s">
        <v>679</v>
      </c>
      <c r="Q149" s="31">
        <f>391.1</f>
        <v>391.1</v>
      </c>
      <c r="R149" s="32" t="s">
        <v>681</v>
      </c>
      <c r="S149" s="33">
        <f>399.28</f>
        <v>399.28</v>
      </c>
      <c r="T149" s="30">
        <f>93951010</f>
        <v>93951010</v>
      </c>
      <c r="U149" s="30">
        <f>797990</f>
        <v>797990</v>
      </c>
      <c r="V149" s="30">
        <f>37347207303</f>
        <v>37347207303</v>
      </c>
      <c r="W149" s="30">
        <f>313462461</f>
        <v>313462461</v>
      </c>
      <c r="X149" s="34">
        <f>22</f>
        <v>22</v>
      </c>
    </row>
    <row r="150" spans="1:24">
      <c r="A150" s="25" t="s">
        <v>1185</v>
      </c>
      <c r="B150" s="25" t="s">
        <v>409</v>
      </c>
      <c r="C150" s="25" t="s">
        <v>975</v>
      </c>
      <c r="D150" s="25" t="s">
        <v>410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52750</f>
        <v>52750</v>
      </c>
      <c r="L150" s="32" t="s">
        <v>1110</v>
      </c>
      <c r="M150" s="31">
        <f>54360</f>
        <v>54360</v>
      </c>
      <c r="N150" s="32" t="s">
        <v>682</v>
      </c>
      <c r="O150" s="31">
        <f>50810</f>
        <v>50810</v>
      </c>
      <c r="P150" s="32" t="s">
        <v>679</v>
      </c>
      <c r="Q150" s="31">
        <f>52320</f>
        <v>52320</v>
      </c>
      <c r="R150" s="32" t="s">
        <v>883</v>
      </c>
      <c r="S150" s="33">
        <f>52941.5</f>
        <v>52941.5</v>
      </c>
      <c r="T150" s="30">
        <f>2450</f>
        <v>2450</v>
      </c>
      <c r="U150" s="30">
        <f>50</f>
        <v>50</v>
      </c>
      <c r="V150" s="30">
        <f>129808800</f>
        <v>129808800</v>
      </c>
      <c r="W150" s="30">
        <f>2644700</f>
        <v>2644700</v>
      </c>
      <c r="X150" s="34">
        <f>20</f>
        <v>20</v>
      </c>
    </row>
    <row r="151" spans="1:24">
      <c r="A151" s="25" t="s">
        <v>1185</v>
      </c>
      <c r="B151" s="25" t="s">
        <v>411</v>
      </c>
      <c r="C151" s="25" t="s">
        <v>412</v>
      </c>
      <c r="D151" s="25" t="s">
        <v>976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6045</f>
        <v>6045</v>
      </c>
      <c r="L151" s="32" t="s">
        <v>1110</v>
      </c>
      <c r="M151" s="31">
        <f>6295</f>
        <v>6295</v>
      </c>
      <c r="N151" s="32" t="s">
        <v>684</v>
      </c>
      <c r="O151" s="31">
        <f>5700</f>
        <v>5700</v>
      </c>
      <c r="P151" s="32" t="s">
        <v>679</v>
      </c>
      <c r="Q151" s="31">
        <f>5771</f>
        <v>5771</v>
      </c>
      <c r="R151" s="32" t="s">
        <v>681</v>
      </c>
      <c r="S151" s="33">
        <f>6014.23</f>
        <v>6014.23</v>
      </c>
      <c r="T151" s="30">
        <f>115570</f>
        <v>115570</v>
      </c>
      <c r="U151" s="30" t="str">
        <f>"－"</f>
        <v>－</v>
      </c>
      <c r="V151" s="30">
        <f>682971350</f>
        <v>682971350</v>
      </c>
      <c r="W151" s="30" t="str">
        <f>"－"</f>
        <v>－</v>
      </c>
      <c r="X151" s="34">
        <f>22</f>
        <v>22</v>
      </c>
    </row>
    <row r="152" spans="1:24">
      <c r="A152" s="25" t="s">
        <v>1185</v>
      </c>
      <c r="B152" s="25" t="s">
        <v>413</v>
      </c>
      <c r="C152" s="25" t="s">
        <v>977</v>
      </c>
      <c r="D152" s="25" t="s">
        <v>978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2224</f>
        <v>2224</v>
      </c>
      <c r="L152" s="32" t="s">
        <v>1110</v>
      </c>
      <c r="M152" s="31">
        <f>2298</f>
        <v>2298</v>
      </c>
      <c r="N152" s="32" t="s">
        <v>677</v>
      </c>
      <c r="O152" s="31">
        <f>2060</f>
        <v>2060</v>
      </c>
      <c r="P152" s="32" t="s">
        <v>679</v>
      </c>
      <c r="Q152" s="31">
        <f>2090</f>
        <v>2090</v>
      </c>
      <c r="R152" s="32" t="s">
        <v>681</v>
      </c>
      <c r="S152" s="33">
        <f>2197</f>
        <v>2197</v>
      </c>
      <c r="T152" s="30">
        <f>158660</f>
        <v>158660</v>
      </c>
      <c r="U152" s="30">
        <f>40900</f>
        <v>40900</v>
      </c>
      <c r="V152" s="30">
        <f>350293830</f>
        <v>350293830</v>
      </c>
      <c r="W152" s="30">
        <f>92596340</f>
        <v>92596340</v>
      </c>
      <c r="X152" s="34">
        <f>22</f>
        <v>22</v>
      </c>
    </row>
    <row r="153" spans="1:24">
      <c r="A153" s="25" t="s">
        <v>1185</v>
      </c>
      <c r="B153" s="25" t="s">
        <v>414</v>
      </c>
      <c r="C153" s="25" t="s">
        <v>415</v>
      </c>
      <c r="D153" s="25" t="s">
        <v>416</v>
      </c>
      <c r="E153" s="26" t="s">
        <v>43</v>
      </c>
      <c r="F153" s="27" t="s">
        <v>43</v>
      </c>
      <c r="G153" s="28" t="s">
        <v>43</v>
      </c>
      <c r="H153" s="29" t="s">
        <v>761</v>
      </c>
      <c r="I153" s="29"/>
      <c r="J153" s="30">
        <v>100</v>
      </c>
      <c r="K153" s="31">
        <f>269.8</f>
        <v>269.8</v>
      </c>
      <c r="L153" s="32" t="s">
        <v>1110</v>
      </c>
      <c r="M153" s="31">
        <f>269.8</f>
        <v>269.8</v>
      </c>
      <c r="N153" s="32" t="s">
        <v>1110</v>
      </c>
      <c r="O153" s="31">
        <f>232</f>
        <v>232</v>
      </c>
      <c r="P153" s="32" t="s">
        <v>679</v>
      </c>
      <c r="Q153" s="31">
        <f>256.8</f>
        <v>256.8</v>
      </c>
      <c r="R153" s="32" t="s">
        <v>681</v>
      </c>
      <c r="S153" s="33">
        <f>255.98</f>
        <v>255.98</v>
      </c>
      <c r="T153" s="30">
        <f>556000</f>
        <v>556000</v>
      </c>
      <c r="U153" s="30">
        <f>3000</f>
        <v>3000</v>
      </c>
      <c r="V153" s="30">
        <f>140096660</f>
        <v>140096660</v>
      </c>
      <c r="W153" s="30">
        <f>750490</f>
        <v>750490</v>
      </c>
      <c r="X153" s="34">
        <f>22</f>
        <v>22</v>
      </c>
    </row>
    <row r="154" spans="1:24">
      <c r="A154" s="25" t="s">
        <v>1185</v>
      </c>
      <c r="B154" s="25" t="s">
        <v>417</v>
      </c>
      <c r="C154" s="25" t="s">
        <v>418</v>
      </c>
      <c r="D154" s="25" t="s">
        <v>419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1796.5</f>
        <v>1796.5</v>
      </c>
      <c r="L154" s="32" t="s">
        <v>1110</v>
      </c>
      <c r="M154" s="31">
        <f>1825</f>
        <v>1825</v>
      </c>
      <c r="N154" s="32" t="s">
        <v>674</v>
      </c>
      <c r="O154" s="31">
        <f>1618.5</f>
        <v>1618.5</v>
      </c>
      <c r="P154" s="32" t="s">
        <v>777</v>
      </c>
      <c r="Q154" s="31">
        <f>1635.5</f>
        <v>1635.5</v>
      </c>
      <c r="R154" s="32" t="s">
        <v>777</v>
      </c>
      <c r="S154" s="33">
        <f>1744.63</f>
        <v>1744.63</v>
      </c>
      <c r="T154" s="30">
        <f>3310</f>
        <v>3310</v>
      </c>
      <c r="U154" s="30" t="str">
        <f>"－"</f>
        <v>－</v>
      </c>
      <c r="V154" s="30">
        <f>5655955</f>
        <v>5655955</v>
      </c>
      <c r="W154" s="30" t="str">
        <f>"－"</f>
        <v>－</v>
      </c>
      <c r="X154" s="34">
        <f>16</f>
        <v>16</v>
      </c>
    </row>
    <row r="155" spans="1:24">
      <c r="A155" s="25" t="s">
        <v>1185</v>
      </c>
      <c r="B155" s="25" t="s">
        <v>420</v>
      </c>
      <c r="C155" s="25" t="s">
        <v>421</v>
      </c>
      <c r="D155" s="25" t="s">
        <v>422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616</f>
        <v>616</v>
      </c>
      <c r="L155" s="32" t="s">
        <v>1110</v>
      </c>
      <c r="M155" s="31">
        <f>630</f>
        <v>630</v>
      </c>
      <c r="N155" s="32" t="s">
        <v>1113</v>
      </c>
      <c r="O155" s="31">
        <f>532.5</f>
        <v>532.5</v>
      </c>
      <c r="P155" s="32" t="s">
        <v>681</v>
      </c>
      <c r="Q155" s="31">
        <f>539.2</f>
        <v>539.20000000000005</v>
      </c>
      <c r="R155" s="32" t="s">
        <v>681</v>
      </c>
      <c r="S155" s="33">
        <f>586.09</f>
        <v>586.09</v>
      </c>
      <c r="T155" s="30">
        <f>95960</f>
        <v>95960</v>
      </c>
      <c r="U155" s="30" t="str">
        <f>"－"</f>
        <v>－</v>
      </c>
      <c r="V155" s="30">
        <f>56193306</f>
        <v>56193306</v>
      </c>
      <c r="W155" s="30" t="str">
        <f>"－"</f>
        <v>－</v>
      </c>
      <c r="X155" s="34">
        <f>22</f>
        <v>22</v>
      </c>
    </row>
    <row r="156" spans="1:24">
      <c r="A156" s="25" t="s">
        <v>1185</v>
      </c>
      <c r="B156" s="25" t="s">
        <v>423</v>
      </c>
      <c r="C156" s="25" t="s">
        <v>424</v>
      </c>
      <c r="D156" s="25" t="s">
        <v>425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2515</f>
        <v>2515</v>
      </c>
      <c r="L156" s="32" t="s">
        <v>1110</v>
      </c>
      <c r="M156" s="31">
        <f>2649.5</f>
        <v>2649.5</v>
      </c>
      <c r="N156" s="32" t="s">
        <v>1145</v>
      </c>
      <c r="O156" s="31">
        <f>2151</f>
        <v>2151</v>
      </c>
      <c r="P156" s="32" t="s">
        <v>679</v>
      </c>
      <c r="Q156" s="31">
        <f>2179</f>
        <v>2179</v>
      </c>
      <c r="R156" s="32" t="s">
        <v>681</v>
      </c>
      <c r="S156" s="33">
        <f>2391.95</f>
        <v>2391.9499999999998</v>
      </c>
      <c r="T156" s="30">
        <f>16810</f>
        <v>16810</v>
      </c>
      <c r="U156" s="30" t="str">
        <f>"－"</f>
        <v>－</v>
      </c>
      <c r="V156" s="30">
        <f>40046705</f>
        <v>40046705</v>
      </c>
      <c r="W156" s="30" t="str">
        <f>"－"</f>
        <v>－</v>
      </c>
      <c r="X156" s="34">
        <f>21</f>
        <v>21</v>
      </c>
    </row>
    <row r="157" spans="1:24">
      <c r="A157" s="25" t="s">
        <v>1185</v>
      </c>
      <c r="B157" s="25" t="s">
        <v>426</v>
      </c>
      <c r="C157" s="25" t="s">
        <v>427</v>
      </c>
      <c r="D157" s="25" t="s">
        <v>428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957.2</f>
        <v>957.2</v>
      </c>
      <c r="L157" s="32" t="s">
        <v>1110</v>
      </c>
      <c r="M157" s="31">
        <f>969.9</f>
        <v>969.9</v>
      </c>
      <c r="N157" s="32" t="s">
        <v>675</v>
      </c>
      <c r="O157" s="31">
        <f>857.1</f>
        <v>857.1</v>
      </c>
      <c r="P157" s="32" t="s">
        <v>681</v>
      </c>
      <c r="Q157" s="31">
        <f>867.5</f>
        <v>867.5</v>
      </c>
      <c r="R157" s="32" t="s">
        <v>681</v>
      </c>
      <c r="S157" s="33">
        <f>924.45</f>
        <v>924.45</v>
      </c>
      <c r="T157" s="30">
        <f>49010</f>
        <v>49010</v>
      </c>
      <c r="U157" s="30" t="str">
        <f>"－"</f>
        <v>－</v>
      </c>
      <c r="V157" s="30">
        <f>44657490</f>
        <v>44657490</v>
      </c>
      <c r="W157" s="30" t="str">
        <f>"－"</f>
        <v>－</v>
      </c>
      <c r="X157" s="34">
        <f>22</f>
        <v>22</v>
      </c>
    </row>
    <row r="158" spans="1:24">
      <c r="A158" s="25" t="s">
        <v>1185</v>
      </c>
      <c r="B158" s="25" t="s">
        <v>429</v>
      </c>
      <c r="C158" s="25" t="s">
        <v>430</v>
      </c>
      <c r="D158" s="25" t="s">
        <v>431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595</f>
        <v>595</v>
      </c>
      <c r="L158" s="32" t="s">
        <v>1110</v>
      </c>
      <c r="M158" s="31">
        <f>610</f>
        <v>610</v>
      </c>
      <c r="N158" s="32" t="s">
        <v>1113</v>
      </c>
      <c r="O158" s="31">
        <f>520</f>
        <v>520</v>
      </c>
      <c r="P158" s="32" t="s">
        <v>681</v>
      </c>
      <c r="Q158" s="31">
        <f>523.6</f>
        <v>523.6</v>
      </c>
      <c r="R158" s="32" t="s">
        <v>681</v>
      </c>
      <c r="S158" s="33">
        <f>562.56</f>
        <v>562.55999999999995</v>
      </c>
      <c r="T158" s="30">
        <f>169290</f>
        <v>169290</v>
      </c>
      <c r="U158" s="30" t="str">
        <f>"－"</f>
        <v>－</v>
      </c>
      <c r="V158" s="30">
        <f>94423346</f>
        <v>94423346</v>
      </c>
      <c r="W158" s="30" t="str">
        <f>"－"</f>
        <v>－</v>
      </c>
      <c r="X158" s="34">
        <f>22</f>
        <v>22</v>
      </c>
    </row>
    <row r="159" spans="1:24">
      <c r="A159" s="25" t="s">
        <v>1185</v>
      </c>
      <c r="B159" s="25" t="s">
        <v>432</v>
      </c>
      <c r="C159" s="25" t="s">
        <v>433</v>
      </c>
      <c r="D159" s="25" t="s">
        <v>434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</v>
      </c>
      <c r="K159" s="31">
        <f>1403</f>
        <v>1403</v>
      </c>
      <c r="L159" s="32" t="s">
        <v>1110</v>
      </c>
      <c r="M159" s="31">
        <f>1407</f>
        <v>1407</v>
      </c>
      <c r="N159" s="32" t="s">
        <v>1110</v>
      </c>
      <c r="O159" s="31">
        <f>1066</f>
        <v>1066</v>
      </c>
      <c r="P159" s="32" t="s">
        <v>777</v>
      </c>
      <c r="Q159" s="31">
        <f>1101</f>
        <v>1101</v>
      </c>
      <c r="R159" s="32" t="s">
        <v>681</v>
      </c>
      <c r="S159" s="33">
        <f>1210.55</f>
        <v>1210.55</v>
      </c>
      <c r="T159" s="30">
        <f>1938042</f>
        <v>1938042</v>
      </c>
      <c r="U159" s="30">
        <f>3</f>
        <v>3</v>
      </c>
      <c r="V159" s="30">
        <f>2312937508</f>
        <v>2312937508</v>
      </c>
      <c r="W159" s="30">
        <f>3615</f>
        <v>3615</v>
      </c>
      <c r="X159" s="34">
        <f>22</f>
        <v>22</v>
      </c>
    </row>
    <row r="160" spans="1:24">
      <c r="A160" s="25" t="s">
        <v>1185</v>
      </c>
      <c r="B160" s="25" t="s">
        <v>435</v>
      </c>
      <c r="C160" s="25" t="s">
        <v>436</v>
      </c>
      <c r="D160" s="25" t="s">
        <v>437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10</v>
      </c>
      <c r="K160" s="31">
        <f>1703</f>
        <v>1703</v>
      </c>
      <c r="L160" s="32" t="s">
        <v>1110</v>
      </c>
      <c r="M160" s="31">
        <f>1751</f>
        <v>1751</v>
      </c>
      <c r="N160" s="32" t="s">
        <v>674</v>
      </c>
      <c r="O160" s="31">
        <f>1504</f>
        <v>1504</v>
      </c>
      <c r="P160" s="32" t="s">
        <v>681</v>
      </c>
      <c r="Q160" s="31">
        <f>1526.5</f>
        <v>1526.5</v>
      </c>
      <c r="R160" s="32" t="s">
        <v>681</v>
      </c>
      <c r="S160" s="33">
        <f>1650.89</f>
        <v>1650.89</v>
      </c>
      <c r="T160" s="30">
        <f>31950</f>
        <v>31950</v>
      </c>
      <c r="U160" s="30" t="str">
        <f t="shared" ref="U160:U167" si="1">"－"</f>
        <v>－</v>
      </c>
      <c r="V160" s="30">
        <f>52052095</f>
        <v>52052095</v>
      </c>
      <c r="W160" s="30" t="str">
        <f t="shared" ref="W160:W167" si="2">"－"</f>
        <v>－</v>
      </c>
      <c r="X160" s="34">
        <f>22</f>
        <v>22</v>
      </c>
    </row>
    <row r="161" spans="1:24">
      <c r="A161" s="25" t="s">
        <v>1185</v>
      </c>
      <c r="B161" s="25" t="s">
        <v>438</v>
      </c>
      <c r="C161" s="25" t="s">
        <v>439</v>
      </c>
      <c r="D161" s="25" t="s">
        <v>440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</v>
      </c>
      <c r="K161" s="31">
        <f>9085</f>
        <v>9085</v>
      </c>
      <c r="L161" s="32" t="s">
        <v>1110</v>
      </c>
      <c r="M161" s="31">
        <f>9332</f>
        <v>9332</v>
      </c>
      <c r="N161" s="32" t="s">
        <v>759</v>
      </c>
      <c r="O161" s="31">
        <f>8140</f>
        <v>8140</v>
      </c>
      <c r="P161" s="32" t="s">
        <v>681</v>
      </c>
      <c r="Q161" s="31">
        <f>8259</f>
        <v>8259</v>
      </c>
      <c r="R161" s="32" t="s">
        <v>681</v>
      </c>
      <c r="S161" s="33">
        <f>8789.11</f>
        <v>8789.11</v>
      </c>
      <c r="T161" s="30">
        <f>428</f>
        <v>428</v>
      </c>
      <c r="U161" s="30" t="str">
        <f t="shared" si="1"/>
        <v>－</v>
      </c>
      <c r="V161" s="30">
        <f>3815675</f>
        <v>3815675</v>
      </c>
      <c r="W161" s="30" t="str">
        <f t="shared" si="2"/>
        <v>－</v>
      </c>
      <c r="X161" s="34">
        <f>18</f>
        <v>18</v>
      </c>
    </row>
    <row r="162" spans="1:24">
      <c r="A162" s="25" t="s">
        <v>1185</v>
      </c>
      <c r="B162" s="25" t="s">
        <v>441</v>
      </c>
      <c r="C162" s="25" t="s">
        <v>442</v>
      </c>
      <c r="D162" s="25" t="s">
        <v>443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100</v>
      </c>
      <c r="K162" s="31">
        <f>530.2</f>
        <v>530.20000000000005</v>
      </c>
      <c r="L162" s="32" t="s">
        <v>1110</v>
      </c>
      <c r="M162" s="31">
        <f>546.3</f>
        <v>546.29999999999995</v>
      </c>
      <c r="N162" s="32" t="s">
        <v>675</v>
      </c>
      <c r="O162" s="31">
        <f>439.5</f>
        <v>439.5</v>
      </c>
      <c r="P162" s="32" t="s">
        <v>681</v>
      </c>
      <c r="Q162" s="31">
        <f>441.9</f>
        <v>441.9</v>
      </c>
      <c r="R162" s="32" t="s">
        <v>681</v>
      </c>
      <c r="S162" s="33">
        <f>497.76</f>
        <v>497.76</v>
      </c>
      <c r="T162" s="30">
        <f>241600</f>
        <v>241600</v>
      </c>
      <c r="U162" s="30" t="str">
        <f t="shared" si="1"/>
        <v>－</v>
      </c>
      <c r="V162" s="30">
        <f>115965810</f>
        <v>115965810</v>
      </c>
      <c r="W162" s="30" t="str">
        <f t="shared" si="2"/>
        <v>－</v>
      </c>
      <c r="X162" s="34">
        <f>22</f>
        <v>22</v>
      </c>
    </row>
    <row r="163" spans="1:24">
      <c r="A163" s="25" t="s">
        <v>1185</v>
      </c>
      <c r="B163" s="25" t="s">
        <v>444</v>
      </c>
      <c r="C163" s="25" t="s">
        <v>445</v>
      </c>
      <c r="D163" s="25" t="s">
        <v>446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6341</f>
        <v>6341</v>
      </c>
      <c r="L163" s="32" t="s">
        <v>1110</v>
      </c>
      <c r="M163" s="31">
        <f>6739</f>
        <v>6739</v>
      </c>
      <c r="N163" s="32" t="s">
        <v>1113</v>
      </c>
      <c r="O163" s="31">
        <f>5565</f>
        <v>5565</v>
      </c>
      <c r="P163" s="32" t="s">
        <v>679</v>
      </c>
      <c r="Q163" s="31">
        <f>5703</f>
        <v>5703</v>
      </c>
      <c r="R163" s="32" t="s">
        <v>681</v>
      </c>
      <c r="S163" s="33">
        <f>6215.14</f>
        <v>6215.14</v>
      </c>
      <c r="T163" s="30">
        <f>146100</f>
        <v>146100</v>
      </c>
      <c r="U163" s="30" t="str">
        <f t="shared" si="1"/>
        <v>－</v>
      </c>
      <c r="V163" s="30">
        <f>911525770</f>
        <v>911525770</v>
      </c>
      <c r="W163" s="30" t="str">
        <f t="shared" si="2"/>
        <v>－</v>
      </c>
      <c r="X163" s="34">
        <f>22</f>
        <v>22</v>
      </c>
    </row>
    <row r="164" spans="1:24">
      <c r="A164" s="25" t="s">
        <v>1185</v>
      </c>
      <c r="B164" s="25" t="s">
        <v>447</v>
      </c>
      <c r="C164" s="25" t="s">
        <v>448</v>
      </c>
      <c r="D164" s="25" t="s">
        <v>449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</v>
      </c>
      <c r="K164" s="31">
        <f>2563.5</f>
        <v>2563.5</v>
      </c>
      <c r="L164" s="32" t="s">
        <v>1110</v>
      </c>
      <c r="M164" s="31">
        <f>2674.5</f>
        <v>2674.5</v>
      </c>
      <c r="N164" s="32" t="s">
        <v>1113</v>
      </c>
      <c r="O164" s="31">
        <f>2125</f>
        <v>2125</v>
      </c>
      <c r="P164" s="32" t="s">
        <v>679</v>
      </c>
      <c r="Q164" s="31">
        <f>2265</f>
        <v>2265</v>
      </c>
      <c r="R164" s="32" t="s">
        <v>681</v>
      </c>
      <c r="S164" s="33">
        <f>2401.11</f>
        <v>2401.11</v>
      </c>
      <c r="T164" s="30">
        <f>23550</f>
        <v>23550</v>
      </c>
      <c r="U164" s="30" t="str">
        <f t="shared" si="1"/>
        <v>－</v>
      </c>
      <c r="V164" s="30">
        <f>57203830</f>
        <v>57203830</v>
      </c>
      <c r="W164" s="30" t="str">
        <f t="shared" si="2"/>
        <v>－</v>
      </c>
      <c r="X164" s="34">
        <f>22</f>
        <v>22</v>
      </c>
    </row>
    <row r="165" spans="1:24">
      <c r="A165" s="25" t="s">
        <v>1185</v>
      </c>
      <c r="B165" s="25" t="s">
        <v>450</v>
      </c>
      <c r="C165" s="25" t="s">
        <v>451</v>
      </c>
      <c r="D165" s="25" t="s">
        <v>452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3685</f>
        <v>3685</v>
      </c>
      <c r="L165" s="32" t="s">
        <v>1110</v>
      </c>
      <c r="M165" s="31">
        <f>3800</f>
        <v>3800</v>
      </c>
      <c r="N165" s="32" t="s">
        <v>1113</v>
      </c>
      <c r="O165" s="31">
        <f>3145</f>
        <v>3145</v>
      </c>
      <c r="P165" s="32" t="s">
        <v>681</v>
      </c>
      <c r="Q165" s="31">
        <f>3175</f>
        <v>3175</v>
      </c>
      <c r="R165" s="32" t="s">
        <v>681</v>
      </c>
      <c r="S165" s="33">
        <f>3484.55</f>
        <v>3484.55</v>
      </c>
      <c r="T165" s="30">
        <f>506074</f>
        <v>506074</v>
      </c>
      <c r="U165" s="30" t="str">
        <f t="shared" si="1"/>
        <v>－</v>
      </c>
      <c r="V165" s="30">
        <f>1750786940</f>
        <v>1750786940</v>
      </c>
      <c r="W165" s="30" t="str">
        <f t="shared" si="2"/>
        <v>－</v>
      </c>
      <c r="X165" s="34">
        <f>22</f>
        <v>22</v>
      </c>
    </row>
    <row r="166" spans="1:24">
      <c r="A166" s="25" t="s">
        <v>1185</v>
      </c>
      <c r="B166" s="25" t="s">
        <v>453</v>
      </c>
      <c r="C166" s="25" t="s">
        <v>454</v>
      </c>
      <c r="D166" s="25" t="s">
        <v>455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</v>
      </c>
      <c r="K166" s="31">
        <f>3230</f>
        <v>3230</v>
      </c>
      <c r="L166" s="32" t="s">
        <v>1110</v>
      </c>
      <c r="M166" s="31">
        <f>3250</f>
        <v>3250</v>
      </c>
      <c r="N166" s="32" t="s">
        <v>674</v>
      </c>
      <c r="O166" s="31">
        <f>2886</f>
        <v>2886</v>
      </c>
      <c r="P166" s="32" t="s">
        <v>681</v>
      </c>
      <c r="Q166" s="31">
        <f>2914</f>
        <v>2914</v>
      </c>
      <c r="R166" s="32" t="s">
        <v>681</v>
      </c>
      <c r="S166" s="33">
        <f>3081.18</f>
        <v>3081.18</v>
      </c>
      <c r="T166" s="30">
        <f>75960</f>
        <v>75960</v>
      </c>
      <c r="U166" s="30" t="str">
        <f t="shared" si="1"/>
        <v>－</v>
      </c>
      <c r="V166" s="30">
        <f>234733912</f>
        <v>234733912</v>
      </c>
      <c r="W166" s="30" t="str">
        <f t="shared" si="2"/>
        <v>－</v>
      </c>
      <c r="X166" s="34">
        <f>22</f>
        <v>22</v>
      </c>
    </row>
    <row r="167" spans="1:24">
      <c r="A167" s="25" t="s">
        <v>1185</v>
      </c>
      <c r="B167" s="25" t="s">
        <v>456</v>
      </c>
      <c r="C167" s="25" t="s">
        <v>457</v>
      </c>
      <c r="D167" s="25" t="s">
        <v>458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4379</f>
        <v>4379</v>
      </c>
      <c r="L167" s="32" t="s">
        <v>1110</v>
      </c>
      <c r="M167" s="31">
        <f>4525</f>
        <v>4525</v>
      </c>
      <c r="N167" s="32" t="s">
        <v>675</v>
      </c>
      <c r="O167" s="31">
        <f>3836</f>
        <v>3836</v>
      </c>
      <c r="P167" s="32" t="s">
        <v>681</v>
      </c>
      <c r="Q167" s="31">
        <f>3894</f>
        <v>3894</v>
      </c>
      <c r="R167" s="32" t="s">
        <v>681</v>
      </c>
      <c r="S167" s="33">
        <f>4178.86</f>
        <v>4178.8599999999997</v>
      </c>
      <c r="T167" s="30">
        <f>27020</f>
        <v>27020</v>
      </c>
      <c r="U167" s="30" t="str">
        <f t="shared" si="1"/>
        <v>－</v>
      </c>
      <c r="V167" s="30">
        <f>113046390</f>
        <v>113046390</v>
      </c>
      <c r="W167" s="30" t="str">
        <f t="shared" si="2"/>
        <v>－</v>
      </c>
      <c r="X167" s="34">
        <f>22</f>
        <v>22</v>
      </c>
    </row>
    <row r="168" spans="1:24">
      <c r="A168" s="25" t="s">
        <v>1185</v>
      </c>
      <c r="B168" s="25" t="s">
        <v>459</v>
      </c>
      <c r="C168" s="25" t="s">
        <v>460</v>
      </c>
      <c r="D168" s="25" t="s">
        <v>979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3092</f>
        <v>3092</v>
      </c>
      <c r="L168" s="32" t="s">
        <v>1110</v>
      </c>
      <c r="M168" s="31">
        <f>3180</f>
        <v>3180</v>
      </c>
      <c r="N168" s="32" t="s">
        <v>675</v>
      </c>
      <c r="O168" s="31">
        <f>2980</f>
        <v>2980</v>
      </c>
      <c r="P168" s="32" t="s">
        <v>679</v>
      </c>
      <c r="Q168" s="31">
        <f>3087</f>
        <v>3087</v>
      </c>
      <c r="R168" s="32" t="s">
        <v>681</v>
      </c>
      <c r="S168" s="33">
        <f>3108.32</f>
        <v>3108.32</v>
      </c>
      <c r="T168" s="30">
        <f>202910</f>
        <v>202910</v>
      </c>
      <c r="U168" s="30">
        <f>53500</f>
        <v>53500</v>
      </c>
      <c r="V168" s="30">
        <f>626054790</f>
        <v>626054790</v>
      </c>
      <c r="W168" s="30">
        <f>163801635</f>
        <v>163801635</v>
      </c>
      <c r="X168" s="34">
        <f>22</f>
        <v>22</v>
      </c>
    </row>
    <row r="169" spans="1:24">
      <c r="A169" s="25" t="s">
        <v>1185</v>
      </c>
      <c r="B169" s="25" t="s">
        <v>461</v>
      </c>
      <c r="C169" s="25" t="s">
        <v>980</v>
      </c>
      <c r="D169" s="25" t="s">
        <v>981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468.8</f>
        <v>468.8</v>
      </c>
      <c r="L169" s="32" t="s">
        <v>1110</v>
      </c>
      <c r="M169" s="31">
        <f>483.3</f>
        <v>483.3</v>
      </c>
      <c r="N169" s="32" t="s">
        <v>674</v>
      </c>
      <c r="O169" s="31">
        <f>415.1</f>
        <v>415.1</v>
      </c>
      <c r="P169" s="32" t="s">
        <v>681</v>
      </c>
      <c r="Q169" s="31">
        <f>426.1</f>
        <v>426.1</v>
      </c>
      <c r="R169" s="32" t="s">
        <v>681</v>
      </c>
      <c r="S169" s="33">
        <f>455.68</f>
        <v>455.68</v>
      </c>
      <c r="T169" s="30">
        <f>32443050</f>
        <v>32443050</v>
      </c>
      <c r="U169" s="30">
        <f>14621810</f>
        <v>14621810</v>
      </c>
      <c r="V169" s="30">
        <f>14801643160</f>
        <v>14801643160</v>
      </c>
      <c r="W169" s="30">
        <f>6644332243</f>
        <v>6644332243</v>
      </c>
      <c r="X169" s="34">
        <f>22</f>
        <v>22</v>
      </c>
    </row>
    <row r="170" spans="1:24">
      <c r="A170" s="25" t="s">
        <v>1185</v>
      </c>
      <c r="B170" s="25" t="s">
        <v>1132</v>
      </c>
      <c r="C170" s="25" t="s">
        <v>1131</v>
      </c>
      <c r="D170" s="25" t="s">
        <v>1130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</v>
      </c>
      <c r="K170" s="31">
        <f>2049</f>
        <v>2049</v>
      </c>
      <c r="L170" s="32" t="s">
        <v>1110</v>
      </c>
      <c r="M170" s="31">
        <f>2133</f>
        <v>2133</v>
      </c>
      <c r="N170" s="32" t="s">
        <v>1113</v>
      </c>
      <c r="O170" s="31">
        <f>1954</f>
        <v>1954</v>
      </c>
      <c r="P170" s="32" t="s">
        <v>676</v>
      </c>
      <c r="Q170" s="31">
        <f>2029</f>
        <v>2029</v>
      </c>
      <c r="R170" s="32" t="s">
        <v>681</v>
      </c>
      <c r="S170" s="33">
        <f>2063.59</f>
        <v>2063.59</v>
      </c>
      <c r="T170" s="30">
        <f>12797</f>
        <v>12797</v>
      </c>
      <c r="U170" s="30" t="str">
        <f>"－"</f>
        <v>－</v>
      </c>
      <c r="V170" s="30">
        <f>26632280</f>
        <v>26632280</v>
      </c>
      <c r="W170" s="30" t="str">
        <f>"－"</f>
        <v>－</v>
      </c>
      <c r="X170" s="34">
        <f>22</f>
        <v>22</v>
      </c>
    </row>
    <row r="171" spans="1:24">
      <c r="A171" s="25" t="s">
        <v>1185</v>
      </c>
      <c r="B171" s="25" t="s">
        <v>1147</v>
      </c>
      <c r="C171" s="25" t="s">
        <v>1148</v>
      </c>
      <c r="D171" s="25" t="s">
        <v>1149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</v>
      </c>
      <c r="K171" s="31">
        <f>1198</f>
        <v>1198</v>
      </c>
      <c r="L171" s="32" t="s">
        <v>1110</v>
      </c>
      <c r="M171" s="31">
        <f>1266</f>
        <v>1266</v>
      </c>
      <c r="N171" s="32" t="s">
        <v>684</v>
      </c>
      <c r="O171" s="31">
        <f>1053</f>
        <v>1053</v>
      </c>
      <c r="P171" s="32" t="s">
        <v>681</v>
      </c>
      <c r="Q171" s="31">
        <f>1069</f>
        <v>1069</v>
      </c>
      <c r="R171" s="32" t="s">
        <v>681</v>
      </c>
      <c r="S171" s="33">
        <f>1172.5</f>
        <v>1172.5</v>
      </c>
      <c r="T171" s="30">
        <f>6270095</f>
        <v>6270095</v>
      </c>
      <c r="U171" s="30">
        <f>1928</f>
        <v>1928</v>
      </c>
      <c r="V171" s="30">
        <f>7381839870</f>
        <v>7381839870</v>
      </c>
      <c r="W171" s="30">
        <f>2124499</f>
        <v>2124499</v>
      </c>
      <c r="X171" s="34">
        <f>22</f>
        <v>22</v>
      </c>
    </row>
    <row r="172" spans="1:24">
      <c r="A172" s="25" t="s">
        <v>1185</v>
      </c>
      <c r="B172" s="25" t="s">
        <v>1151</v>
      </c>
      <c r="C172" s="25" t="s">
        <v>1152</v>
      </c>
      <c r="D172" s="25" t="s">
        <v>1153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298.3</f>
        <v>298.3</v>
      </c>
      <c r="L172" s="32" t="s">
        <v>1110</v>
      </c>
      <c r="M172" s="31">
        <f>304.2</f>
        <v>304.2</v>
      </c>
      <c r="N172" s="32" t="s">
        <v>678</v>
      </c>
      <c r="O172" s="31">
        <f>290.2</f>
        <v>290.2</v>
      </c>
      <c r="P172" s="32" t="s">
        <v>1116</v>
      </c>
      <c r="Q172" s="31">
        <f>301.5</f>
        <v>301.5</v>
      </c>
      <c r="R172" s="32" t="s">
        <v>681</v>
      </c>
      <c r="S172" s="33">
        <f>298.22</f>
        <v>298.22000000000003</v>
      </c>
      <c r="T172" s="30">
        <f>12126250</f>
        <v>12126250</v>
      </c>
      <c r="U172" s="30">
        <f>6606400</f>
        <v>6606400</v>
      </c>
      <c r="V172" s="30">
        <f>3608756800</f>
        <v>3608756800</v>
      </c>
      <c r="W172" s="30">
        <f>1964197678</f>
        <v>1964197678</v>
      </c>
      <c r="X172" s="34">
        <f>22</f>
        <v>22</v>
      </c>
    </row>
    <row r="173" spans="1:24">
      <c r="A173" s="25" t="s">
        <v>1185</v>
      </c>
      <c r="B173" s="25" t="s">
        <v>1154</v>
      </c>
      <c r="C173" s="25" t="s">
        <v>1155</v>
      </c>
      <c r="D173" s="25" t="s">
        <v>1156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323.4</f>
        <v>323.39999999999998</v>
      </c>
      <c r="L173" s="32" t="s">
        <v>1110</v>
      </c>
      <c r="M173" s="31">
        <f>323.4</f>
        <v>323.39999999999998</v>
      </c>
      <c r="N173" s="32" t="s">
        <v>1110</v>
      </c>
      <c r="O173" s="31">
        <f>301.3</f>
        <v>301.3</v>
      </c>
      <c r="P173" s="32" t="s">
        <v>679</v>
      </c>
      <c r="Q173" s="31">
        <f>310</f>
        <v>310</v>
      </c>
      <c r="R173" s="32" t="s">
        <v>681</v>
      </c>
      <c r="S173" s="33">
        <f>315.96</f>
        <v>315.95999999999998</v>
      </c>
      <c r="T173" s="30">
        <f>4270110</f>
        <v>4270110</v>
      </c>
      <c r="U173" s="30">
        <f>80000</f>
        <v>80000</v>
      </c>
      <c r="V173" s="30">
        <f>1339105934</f>
        <v>1339105934</v>
      </c>
      <c r="W173" s="30">
        <f>25757600</f>
        <v>25757600</v>
      </c>
      <c r="X173" s="34">
        <f>22</f>
        <v>22</v>
      </c>
    </row>
    <row r="174" spans="1:24">
      <c r="A174" s="25" t="s">
        <v>1185</v>
      </c>
      <c r="B174" s="25" t="s">
        <v>1157</v>
      </c>
      <c r="C174" s="25" t="s">
        <v>1158</v>
      </c>
      <c r="D174" s="25" t="s">
        <v>1159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525.5</f>
        <v>525.5</v>
      </c>
      <c r="L174" s="32" t="s">
        <v>1110</v>
      </c>
      <c r="M174" s="31">
        <f>529.7</f>
        <v>529.70000000000005</v>
      </c>
      <c r="N174" s="32" t="s">
        <v>684</v>
      </c>
      <c r="O174" s="31">
        <f>499.1</f>
        <v>499.1</v>
      </c>
      <c r="P174" s="32" t="s">
        <v>679</v>
      </c>
      <c r="Q174" s="31">
        <f>518.1</f>
        <v>518.1</v>
      </c>
      <c r="R174" s="32" t="s">
        <v>681</v>
      </c>
      <c r="S174" s="33">
        <f>517.97</f>
        <v>517.97</v>
      </c>
      <c r="T174" s="30">
        <f>1943420</f>
        <v>1943420</v>
      </c>
      <c r="U174" s="30">
        <f>1930000</f>
        <v>1930000</v>
      </c>
      <c r="V174" s="30">
        <f>1010614383</f>
        <v>1010614383</v>
      </c>
      <c r="W174" s="30">
        <f>1003717344</f>
        <v>1003717344</v>
      </c>
      <c r="X174" s="34">
        <f>21</f>
        <v>21</v>
      </c>
    </row>
    <row r="175" spans="1:24">
      <c r="A175" s="25" t="s">
        <v>1185</v>
      </c>
      <c r="B175" s="25" t="s">
        <v>1161</v>
      </c>
      <c r="C175" s="25" t="s">
        <v>1162</v>
      </c>
      <c r="D175" s="25" t="s">
        <v>1163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543.8</f>
        <v>543.79999999999995</v>
      </c>
      <c r="L175" s="32" t="s">
        <v>1110</v>
      </c>
      <c r="M175" s="31">
        <f>557.1</f>
        <v>557.1</v>
      </c>
      <c r="N175" s="32" t="s">
        <v>684</v>
      </c>
      <c r="O175" s="31">
        <f>516</f>
        <v>516</v>
      </c>
      <c r="P175" s="32" t="s">
        <v>679</v>
      </c>
      <c r="Q175" s="31">
        <f>531.9</f>
        <v>531.9</v>
      </c>
      <c r="R175" s="32" t="s">
        <v>681</v>
      </c>
      <c r="S175" s="33">
        <f>538.57</f>
        <v>538.57000000000005</v>
      </c>
      <c r="T175" s="30">
        <f>55670</f>
        <v>55670</v>
      </c>
      <c r="U175" s="30" t="str">
        <f>"－"</f>
        <v>－</v>
      </c>
      <c r="V175" s="30">
        <f>29871489</f>
        <v>29871489</v>
      </c>
      <c r="W175" s="30" t="str">
        <f>"－"</f>
        <v>－</v>
      </c>
      <c r="X175" s="34">
        <f>22</f>
        <v>22</v>
      </c>
    </row>
    <row r="176" spans="1:24">
      <c r="A176" s="25" t="s">
        <v>1185</v>
      </c>
      <c r="B176" s="25" t="s">
        <v>1164</v>
      </c>
      <c r="C176" s="25" t="s">
        <v>1165</v>
      </c>
      <c r="D176" s="25" t="s">
        <v>1166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10</v>
      </c>
      <c r="K176" s="31">
        <f>521.5</f>
        <v>521.5</v>
      </c>
      <c r="L176" s="32" t="s">
        <v>1110</v>
      </c>
      <c r="M176" s="31">
        <f>528.7</f>
        <v>528.70000000000005</v>
      </c>
      <c r="N176" s="32" t="s">
        <v>760</v>
      </c>
      <c r="O176" s="31">
        <f>506.6</f>
        <v>506.6</v>
      </c>
      <c r="P176" s="32" t="s">
        <v>1116</v>
      </c>
      <c r="Q176" s="31">
        <f>517.9</f>
        <v>517.9</v>
      </c>
      <c r="R176" s="32" t="s">
        <v>679</v>
      </c>
      <c r="S176" s="33">
        <f>522.39</f>
        <v>522.39</v>
      </c>
      <c r="T176" s="30">
        <f>8850</f>
        <v>8850</v>
      </c>
      <c r="U176" s="30" t="str">
        <f>"－"</f>
        <v>－</v>
      </c>
      <c r="V176" s="30">
        <f>4637150</f>
        <v>4637150</v>
      </c>
      <c r="W176" s="30" t="str">
        <f>"－"</f>
        <v>－</v>
      </c>
      <c r="X176" s="34">
        <f>15</f>
        <v>15</v>
      </c>
    </row>
    <row r="177" spans="1:24">
      <c r="A177" s="25" t="s">
        <v>1185</v>
      </c>
      <c r="B177" s="25" t="s">
        <v>1168</v>
      </c>
      <c r="C177" s="25" t="s">
        <v>1169</v>
      </c>
      <c r="D177" s="25" t="s">
        <v>1170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1056</f>
        <v>1056</v>
      </c>
      <c r="L177" s="32" t="s">
        <v>1110</v>
      </c>
      <c r="M177" s="31">
        <f>1085</f>
        <v>1085</v>
      </c>
      <c r="N177" s="32" t="s">
        <v>760</v>
      </c>
      <c r="O177" s="31">
        <f>1007</f>
        <v>1007</v>
      </c>
      <c r="P177" s="32" t="s">
        <v>679</v>
      </c>
      <c r="Q177" s="31">
        <f>1053</f>
        <v>1053</v>
      </c>
      <c r="R177" s="32" t="s">
        <v>681</v>
      </c>
      <c r="S177" s="33">
        <f>1061.18</f>
        <v>1061.18</v>
      </c>
      <c r="T177" s="30">
        <f>1818115</f>
        <v>1818115</v>
      </c>
      <c r="U177" s="30">
        <f>393</f>
        <v>393</v>
      </c>
      <c r="V177" s="30">
        <f>1926507049</f>
        <v>1926507049</v>
      </c>
      <c r="W177" s="30">
        <f>412660</f>
        <v>412660</v>
      </c>
      <c r="X177" s="34">
        <f>22</f>
        <v>22</v>
      </c>
    </row>
    <row r="178" spans="1:24">
      <c r="A178" s="25" t="s">
        <v>1185</v>
      </c>
      <c r="B178" s="25" t="s">
        <v>1173</v>
      </c>
      <c r="C178" s="25" t="s">
        <v>1174</v>
      </c>
      <c r="D178" s="25" t="s">
        <v>1175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</v>
      </c>
      <c r="K178" s="31">
        <f>2062</f>
        <v>2062</v>
      </c>
      <c r="L178" s="32" t="s">
        <v>1110</v>
      </c>
      <c r="M178" s="31">
        <f>2227</f>
        <v>2227</v>
      </c>
      <c r="N178" s="32" t="s">
        <v>684</v>
      </c>
      <c r="O178" s="31">
        <f>1688</f>
        <v>1688</v>
      </c>
      <c r="P178" s="32" t="s">
        <v>676</v>
      </c>
      <c r="Q178" s="31">
        <f>1826</f>
        <v>1826</v>
      </c>
      <c r="R178" s="32" t="s">
        <v>681</v>
      </c>
      <c r="S178" s="33">
        <f>1986.18</f>
        <v>1986.18</v>
      </c>
      <c r="T178" s="30">
        <f>14192066</f>
        <v>14192066</v>
      </c>
      <c r="U178" s="30">
        <f>3251758</f>
        <v>3251758</v>
      </c>
      <c r="V178" s="30">
        <f>27465406063</f>
        <v>27465406063</v>
      </c>
      <c r="W178" s="30">
        <f>6263916870</f>
        <v>6263916870</v>
      </c>
      <c r="X178" s="34">
        <f>22</f>
        <v>22</v>
      </c>
    </row>
    <row r="179" spans="1:24">
      <c r="A179" s="25" t="s">
        <v>1185</v>
      </c>
      <c r="B179" s="25" t="s">
        <v>1054</v>
      </c>
      <c r="C179" s="25" t="s">
        <v>1055</v>
      </c>
      <c r="D179" s="25" t="s">
        <v>1056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581</f>
        <v>581</v>
      </c>
      <c r="L179" s="32" t="s">
        <v>1110</v>
      </c>
      <c r="M179" s="31">
        <f>600</f>
        <v>600</v>
      </c>
      <c r="N179" s="32" t="s">
        <v>682</v>
      </c>
      <c r="O179" s="31">
        <f>560.2</f>
        <v>560.20000000000005</v>
      </c>
      <c r="P179" s="32" t="s">
        <v>679</v>
      </c>
      <c r="Q179" s="31">
        <f>589.9</f>
        <v>589.9</v>
      </c>
      <c r="R179" s="32" t="s">
        <v>681</v>
      </c>
      <c r="S179" s="33">
        <f>586.91</f>
        <v>586.91</v>
      </c>
      <c r="T179" s="30">
        <f>874350</f>
        <v>874350</v>
      </c>
      <c r="U179" s="30" t="str">
        <f>"－"</f>
        <v>－</v>
      </c>
      <c r="V179" s="30">
        <f>511916916</f>
        <v>511916916</v>
      </c>
      <c r="W179" s="30" t="str">
        <f>"－"</f>
        <v>－</v>
      </c>
      <c r="X179" s="34">
        <f>22</f>
        <v>22</v>
      </c>
    </row>
    <row r="180" spans="1:24">
      <c r="A180" s="25" t="s">
        <v>1185</v>
      </c>
      <c r="B180" s="25" t="s">
        <v>1083</v>
      </c>
      <c r="C180" s="25" t="s">
        <v>1084</v>
      </c>
      <c r="D180" s="25" t="s">
        <v>1085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232.6</f>
        <v>232.6</v>
      </c>
      <c r="L180" s="32" t="s">
        <v>1110</v>
      </c>
      <c r="M180" s="31">
        <f>232.6</f>
        <v>232.6</v>
      </c>
      <c r="N180" s="32" t="s">
        <v>1110</v>
      </c>
      <c r="O180" s="31">
        <f>212.3</f>
        <v>212.3</v>
      </c>
      <c r="P180" s="32" t="s">
        <v>681</v>
      </c>
      <c r="Q180" s="31">
        <f>214.1</f>
        <v>214.1</v>
      </c>
      <c r="R180" s="32" t="s">
        <v>681</v>
      </c>
      <c r="S180" s="33">
        <f>220.85</f>
        <v>220.85</v>
      </c>
      <c r="T180" s="30">
        <f>30721660</f>
        <v>30721660</v>
      </c>
      <c r="U180" s="30">
        <f>20279880</f>
        <v>20279880</v>
      </c>
      <c r="V180" s="30">
        <f>6792483489</f>
        <v>6792483489</v>
      </c>
      <c r="W180" s="30">
        <f>4489466006</f>
        <v>4489466006</v>
      </c>
      <c r="X180" s="34">
        <f>22</f>
        <v>22</v>
      </c>
    </row>
    <row r="181" spans="1:24">
      <c r="A181" s="25" t="s">
        <v>1185</v>
      </c>
      <c r="B181" s="25" t="s">
        <v>1087</v>
      </c>
      <c r="C181" s="25" t="s">
        <v>1088</v>
      </c>
      <c r="D181" s="25" t="s">
        <v>1089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236</f>
        <v>236</v>
      </c>
      <c r="L181" s="32" t="s">
        <v>1110</v>
      </c>
      <c r="M181" s="31">
        <f>239.8</f>
        <v>239.8</v>
      </c>
      <c r="N181" s="32" t="s">
        <v>680</v>
      </c>
      <c r="O181" s="31">
        <f>229.1</f>
        <v>229.1</v>
      </c>
      <c r="P181" s="32" t="s">
        <v>679</v>
      </c>
      <c r="Q181" s="31">
        <f>235.7</f>
        <v>235.7</v>
      </c>
      <c r="R181" s="32" t="s">
        <v>681</v>
      </c>
      <c r="S181" s="33">
        <f>234.88</f>
        <v>234.88</v>
      </c>
      <c r="T181" s="30">
        <f>5531120</f>
        <v>5531120</v>
      </c>
      <c r="U181" s="30">
        <f>50</f>
        <v>50</v>
      </c>
      <c r="V181" s="30">
        <f>1298418341</f>
        <v>1298418341</v>
      </c>
      <c r="W181" s="30">
        <f>10910</f>
        <v>10910</v>
      </c>
      <c r="X181" s="34">
        <f>22</f>
        <v>22</v>
      </c>
    </row>
    <row r="182" spans="1:24">
      <c r="A182" s="25" t="s">
        <v>1185</v>
      </c>
      <c r="B182" s="25" t="s">
        <v>1090</v>
      </c>
      <c r="C182" s="25" t="s">
        <v>1091</v>
      </c>
      <c r="D182" s="25" t="s">
        <v>1092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10</v>
      </c>
      <c r="K182" s="31">
        <f>238.3</f>
        <v>238.3</v>
      </c>
      <c r="L182" s="32" t="s">
        <v>1110</v>
      </c>
      <c r="M182" s="31">
        <f>243.7</f>
        <v>243.7</v>
      </c>
      <c r="N182" s="32" t="s">
        <v>682</v>
      </c>
      <c r="O182" s="31">
        <f>230</f>
        <v>230</v>
      </c>
      <c r="P182" s="32" t="s">
        <v>679</v>
      </c>
      <c r="Q182" s="31">
        <f>235.3</f>
        <v>235.3</v>
      </c>
      <c r="R182" s="32" t="s">
        <v>681</v>
      </c>
      <c r="S182" s="33">
        <f>237.9</f>
        <v>237.9</v>
      </c>
      <c r="T182" s="30">
        <f>6720080</f>
        <v>6720080</v>
      </c>
      <c r="U182" s="30">
        <f>660</f>
        <v>660</v>
      </c>
      <c r="V182" s="30">
        <f>1598343262</f>
        <v>1598343262</v>
      </c>
      <c r="W182" s="30">
        <f>155820</f>
        <v>155820</v>
      </c>
      <c r="X182" s="34">
        <f>22</f>
        <v>22</v>
      </c>
    </row>
    <row r="183" spans="1:24">
      <c r="A183" s="25" t="s">
        <v>1185</v>
      </c>
      <c r="B183" s="25" t="s">
        <v>1093</v>
      </c>
      <c r="C183" s="25" t="s">
        <v>1094</v>
      </c>
      <c r="D183" s="25" t="s">
        <v>1095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2158</f>
        <v>2158</v>
      </c>
      <c r="L183" s="32" t="s">
        <v>1110</v>
      </c>
      <c r="M183" s="31">
        <f>2208</f>
        <v>2208</v>
      </c>
      <c r="N183" s="32" t="s">
        <v>876</v>
      </c>
      <c r="O183" s="31">
        <f>2044</f>
        <v>2044</v>
      </c>
      <c r="P183" s="32" t="s">
        <v>683</v>
      </c>
      <c r="Q183" s="31">
        <f>2096</f>
        <v>2096</v>
      </c>
      <c r="R183" s="32" t="s">
        <v>681</v>
      </c>
      <c r="S183" s="33">
        <f>2138.14</f>
        <v>2138.14</v>
      </c>
      <c r="T183" s="30">
        <f>1417138</f>
        <v>1417138</v>
      </c>
      <c r="U183" s="30">
        <f>1210000</f>
        <v>1210000</v>
      </c>
      <c r="V183" s="30">
        <f>3029336984</f>
        <v>3029336984</v>
      </c>
      <c r="W183" s="30">
        <f>2586441000</f>
        <v>2586441000</v>
      </c>
      <c r="X183" s="34">
        <f>22</f>
        <v>22</v>
      </c>
    </row>
    <row r="184" spans="1:24">
      <c r="A184" s="25" t="s">
        <v>1185</v>
      </c>
      <c r="B184" s="25" t="s">
        <v>1096</v>
      </c>
      <c r="C184" s="25" t="s">
        <v>1097</v>
      </c>
      <c r="D184" s="25" t="s">
        <v>1098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1928</f>
        <v>1928</v>
      </c>
      <c r="L184" s="32" t="s">
        <v>1110</v>
      </c>
      <c r="M184" s="31">
        <f>1990</f>
        <v>1990</v>
      </c>
      <c r="N184" s="32" t="s">
        <v>760</v>
      </c>
      <c r="O184" s="31">
        <f>1917</f>
        <v>1917</v>
      </c>
      <c r="P184" s="32" t="s">
        <v>1116</v>
      </c>
      <c r="Q184" s="31">
        <f>1959</f>
        <v>1959</v>
      </c>
      <c r="R184" s="32" t="s">
        <v>681</v>
      </c>
      <c r="S184" s="33">
        <f>1943.82</f>
        <v>1943.82</v>
      </c>
      <c r="T184" s="30">
        <f>62502</f>
        <v>62502</v>
      </c>
      <c r="U184" s="30">
        <f>2</f>
        <v>2</v>
      </c>
      <c r="V184" s="30">
        <f>121731878</f>
        <v>121731878</v>
      </c>
      <c r="W184" s="30">
        <f>3859</f>
        <v>3859</v>
      </c>
      <c r="X184" s="34">
        <f>22</f>
        <v>22</v>
      </c>
    </row>
    <row r="185" spans="1:24">
      <c r="A185" s="25" t="s">
        <v>1185</v>
      </c>
      <c r="B185" s="25" t="s">
        <v>1099</v>
      </c>
      <c r="C185" s="25" t="s">
        <v>1100</v>
      </c>
      <c r="D185" s="25" t="s">
        <v>1101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1104</f>
        <v>1104</v>
      </c>
      <c r="L185" s="32" t="s">
        <v>1110</v>
      </c>
      <c r="M185" s="31">
        <f>1165</f>
        <v>1165</v>
      </c>
      <c r="N185" s="32" t="s">
        <v>684</v>
      </c>
      <c r="O185" s="31">
        <f>1052</f>
        <v>1052</v>
      </c>
      <c r="P185" s="32" t="s">
        <v>676</v>
      </c>
      <c r="Q185" s="31">
        <f>1095</f>
        <v>1095</v>
      </c>
      <c r="R185" s="32" t="s">
        <v>681</v>
      </c>
      <c r="S185" s="33">
        <f>1114.68</f>
        <v>1114.68</v>
      </c>
      <c r="T185" s="30">
        <f>3581846</f>
        <v>3581846</v>
      </c>
      <c r="U185" s="30">
        <f>335173</f>
        <v>335173</v>
      </c>
      <c r="V185" s="30">
        <f>3985184859</f>
        <v>3985184859</v>
      </c>
      <c r="W185" s="30">
        <f>378966010</f>
        <v>378966010</v>
      </c>
      <c r="X185" s="34">
        <f>22</f>
        <v>22</v>
      </c>
    </row>
    <row r="186" spans="1:24">
      <c r="A186" s="25" t="s">
        <v>1185</v>
      </c>
      <c r="B186" s="25" t="s">
        <v>1103</v>
      </c>
      <c r="C186" s="25" t="s">
        <v>1104</v>
      </c>
      <c r="D186" s="25" t="s">
        <v>1105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1083</f>
        <v>1083</v>
      </c>
      <c r="L186" s="32" t="s">
        <v>1110</v>
      </c>
      <c r="M186" s="31">
        <f>1146</f>
        <v>1146</v>
      </c>
      <c r="N186" s="32" t="s">
        <v>682</v>
      </c>
      <c r="O186" s="31">
        <f>1083</f>
        <v>1083</v>
      </c>
      <c r="P186" s="32" t="s">
        <v>1110</v>
      </c>
      <c r="Q186" s="31">
        <f>1113</f>
        <v>1113</v>
      </c>
      <c r="R186" s="32" t="s">
        <v>681</v>
      </c>
      <c r="S186" s="33">
        <f>1110.73</f>
        <v>1110.73</v>
      </c>
      <c r="T186" s="30">
        <f>283649</f>
        <v>283649</v>
      </c>
      <c r="U186" s="30" t="str">
        <f>"－"</f>
        <v>－</v>
      </c>
      <c r="V186" s="30">
        <f>315229603</f>
        <v>315229603</v>
      </c>
      <c r="W186" s="30" t="str">
        <f>"－"</f>
        <v>－</v>
      </c>
      <c r="X186" s="34">
        <f>22</f>
        <v>22</v>
      </c>
    </row>
    <row r="187" spans="1:24">
      <c r="A187" s="25" t="s">
        <v>1185</v>
      </c>
      <c r="B187" s="25" t="s">
        <v>1106</v>
      </c>
      <c r="C187" s="25" t="s">
        <v>1107</v>
      </c>
      <c r="D187" s="25" t="s">
        <v>1108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</v>
      </c>
      <c r="K187" s="31">
        <f>1100</f>
        <v>1100</v>
      </c>
      <c r="L187" s="32" t="s">
        <v>1110</v>
      </c>
      <c r="M187" s="31">
        <f>1106</f>
        <v>1106</v>
      </c>
      <c r="N187" s="32" t="s">
        <v>876</v>
      </c>
      <c r="O187" s="31">
        <f>1026</f>
        <v>1026</v>
      </c>
      <c r="P187" s="32" t="s">
        <v>679</v>
      </c>
      <c r="Q187" s="31">
        <f>1034</f>
        <v>1034</v>
      </c>
      <c r="R187" s="32" t="s">
        <v>681</v>
      </c>
      <c r="S187" s="33">
        <f>1078.27</f>
        <v>1078.27</v>
      </c>
      <c r="T187" s="30">
        <f>107356</f>
        <v>107356</v>
      </c>
      <c r="U187" s="30" t="str">
        <f>"－"</f>
        <v>－</v>
      </c>
      <c r="V187" s="30">
        <f>114820858</f>
        <v>114820858</v>
      </c>
      <c r="W187" s="30" t="str">
        <f>"－"</f>
        <v>－</v>
      </c>
      <c r="X187" s="34">
        <f>22</f>
        <v>22</v>
      </c>
    </row>
    <row r="188" spans="1:24">
      <c r="A188" s="25" t="s">
        <v>1185</v>
      </c>
      <c r="B188" s="25" t="s">
        <v>1177</v>
      </c>
      <c r="C188" s="25" t="s">
        <v>1178</v>
      </c>
      <c r="D188" s="25" t="s">
        <v>1179</v>
      </c>
      <c r="E188" s="26" t="s">
        <v>43</v>
      </c>
      <c r="F188" s="27" t="s">
        <v>43</v>
      </c>
      <c r="G188" s="28" t="s">
        <v>43</v>
      </c>
      <c r="H188" s="29"/>
      <c r="I188" s="29" t="s">
        <v>44</v>
      </c>
      <c r="J188" s="30">
        <v>10</v>
      </c>
      <c r="K188" s="31">
        <f>217</f>
        <v>217</v>
      </c>
      <c r="L188" s="32" t="s">
        <v>1110</v>
      </c>
      <c r="M188" s="31">
        <f>220</f>
        <v>220</v>
      </c>
      <c r="N188" s="32" t="s">
        <v>675</v>
      </c>
      <c r="O188" s="31">
        <f>201.9</f>
        <v>201.9</v>
      </c>
      <c r="P188" s="32" t="s">
        <v>679</v>
      </c>
      <c r="Q188" s="31">
        <f>209.5</f>
        <v>209.5</v>
      </c>
      <c r="R188" s="32" t="s">
        <v>681</v>
      </c>
      <c r="S188" s="33">
        <f>213.47</f>
        <v>213.47</v>
      </c>
      <c r="T188" s="30">
        <f>19316520</f>
        <v>19316520</v>
      </c>
      <c r="U188" s="30">
        <f>318920</f>
        <v>318920</v>
      </c>
      <c r="V188" s="30">
        <f>4130189687</f>
        <v>4130189687</v>
      </c>
      <c r="W188" s="30">
        <f>67418079</f>
        <v>67418079</v>
      </c>
      <c r="X188" s="34">
        <f>22</f>
        <v>22</v>
      </c>
    </row>
    <row r="189" spans="1:24">
      <c r="A189" s="25" t="s">
        <v>1185</v>
      </c>
      <c r="B189" s="25" t="s">
        <v>462</v>
      </c>
      <c r="C189" s="25" t="s">
        <v>463</v>
      </c>
      <c r="D189" s="25" t="s">
        <v>464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4785</f>
        <v>4785</v>
      </c>
      <c r="L189" s="32" t="s">
        <v>1110</v>
      </c>
      <c r="M189" s="31">
        <f>5080</f>
        <v>5080</v>
      </c>
      <c r="N189" s="32" t="s">
        <v>675</v>
      </c>
      <c r="O189" s="31">
        <f>4160</f>
        <v>4160</v>
      </c>
      <c r="P189" s="32" t="s">
        <v>679</v>
      </c>
      <c r="Q189" s="31">
        <f>4380</f>
        <v>4380</v>
      </c>
      <c r="R189" s="32" t="s">
        <v>681</v>
      </c>
      <c r="S189" s="33">
        <f>4670.23</f>
        <v>4670.2299999999996</v>
      </c>
      <c r="T189" s="30">
        <f>76260</f>
        <v>76260</v>
      </c>
      <c r="U189" s="30" t="str">
        <f>"－"</f>
        <v>－</v>
      </c>
      <c r="V189" s="30">
        <f>356589465</f>
        <v>356589465</v>
      </c>
      <c r="W189" s="30" t="str">
        <f>"－"</f>
        <v>－</v>
      </c>
      <c r="X189" s="34">
        <f>22</f>
        <v>22</v>
      </c>
    </row>
    <row r="190" spans="1:24">
      <c r="A190" s="25" t="s">
        <v>1185</v>
      </c>
      <c r="B190" s="25" t="s">
        <v>466</v>
      </c>
      <c r="C190" s="25" t="s">
        <v>467</v>
      </c>
      <c r="D190" s="25" t="s">
        <v>468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9890</f>
        <v>9890</v>
      </c>
      <c r="L190" s="32" t="s">
        <v>1110</v>
      </c>
      <c r="M190" s="31">
        <f>9974</f>
        <v>9974</v>
      </c>
      <c r="N190" s="32" t="s">
        <v>876</v>
      </c>
      <c r="O190" s="31">
        <f>9281</f>
        <v>9281</v>
      </c>
      <c r="P190" s="32" t="s">
        <v>677</v>
      </c>
      <c r="Q190" s="31">
        <f>9528</f>
        <v>9528</v>
      </c>
      <c r="R190" s="32" t="s">
        <v>681</v>
      </c>
      <c r="S190" s="33">
        <f>9635.82</f>
        <v>9635.82</v>
      </c>
      <c r="T190" s="30">
        <f>5954</f>
        <v>5954</v>
      </c>
      <c r="U190" s="30" t="str">
        <f>"－"</f>
        <v>－</v>
      </c>
      <c r="V190" s="30">
        <f>57109156</f>
        <v>57109156</v>
      </c>
      <c r="W190" s="30" t="str">
        <f>"－"</f>
        <v>－</v>
      </c>
      <c r="X190" s="34">
        <f>22</f>
        <v>22</v>
      </c>
    </row>
    <row r="191" spans="1:24">
      <c r="A191" s="25" t="s">
        <v>1185</v>
      </c>
      <c r="B191" s="25" t="s">
        <v>469</v>
      </c>
      <c r="C191" s="25" t="s">
        <v>470</v>
      </c>
      <c r="D191" s="25" t="s">
        <v>471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15565</f>
        <v>15565</v>
      </c>
      <c r="L191" s="32" t="s">
        <v>1110</v>
      </c>
      <c r="M191" s="31">
        <f>17020</f>
        <v>17020</v>
      </c>
      <c r="N191" s="32" t="s">
        <v>684</v>
      </c>
      <c r="O191" s="31">
        <f>14000</f>
        <v>14000</v>
      </c>
      <c r="P191" s="32" t="s">
        <v>676</v>
      </c>
      <c r="Q191" s="31">
        <f>14340</f>
        <v>14340</v>
      </c>
      <c r="R191" s="32" t="s">
        <v>681</v>
      </c>
      <c r="S191" s="33">
        <f>15567.95</f>
        <v>15567.95</v>
      </c>
      <c r="T191" s="30">
        <f>2116</f>
        <v>2116</v>
      </c>
      <c r="U191" s="30" t="str">
        <f>"－"</f>
        <v>－</v>
      </c>
      <c r="V191" s="30">
        <f>33276795</f>
        <v>33276795</v>
      </c>
      <c r="W191" s="30" t="str">
        <f>"－"</f>
        <v>－</v>
      </c>
      <c r="X191" s="34">
        <f>22</f>
        <v>22</v>
      </c>
    </row>
    <row r="192" spans="1:24">
      <c r="A192" s="25" t="s">
        <v>1185</v>
      </c>
      <c r="B192" s="25" t="s">
        <v>472</v>
      </c>
      <c r="C192" s="25" t="s">
        <v>473</v>
      </c>
      <c r="D192" s="25" t="s">
        <v>474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7549</f>
        <v>7549</v>
      </c>
      <c r="L192" s="32" t="s">
        <v>1110</v>
      </c>
      <c r="M192" s="31">
        <f>7549</f>
        <v>7549</v>
      </c>
      <c r="N192" s="32" t="s">
        <v>1110</v>
      </c>
      <c r="O192" s="31">
        <f>7223</f>
        <v>7223</v>
      </c>
      <c r="P192" s="32" t="s">
        <v>760</v>
      </c>
      <c r="Q192" s="31">
        <f>7310</f>
        <v>7310</v>
      </c>
      <c r="R192" s="32" t="s">
        <v>681</v>
      </c>
      <c r="S192" s="33">
        <f>7364.76</f>
        <v>7364.76</v>
      </c>
      <c r="T192" s="30">
        <f>5415</f>
        <v>5415</v>
      </c>
      <c r="U192" s="30" t="str">
        <f>"－"</f>
        <v>－</v>
      </c>
      <c r="V192" s="30">
        <f>40116369</f>
        <v>40116369</v>
      </c>
      <c r="W192" s="30" t="str">
        <f>"－"</f>
        <v>－</v>
      </c>
      <c r="X192" s="34">
        <f>21</f>
        <v>21</v>
      </c>
    </row>
    <row r="193" spans="1:24">
      <c r="A193" s="25" t="s">
        <v>1185</v>
      </c>
      <c r="B193" s="25" t="s">
        <v>475</v>
      </c>
      <c r="C193" s="25" t="s">
        <v>476</v>
      </c>
      <c r="D193" s="25" t="s">
        <v>477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59000</f>
        <v>59000</v>
      </c>
      <c r="L193" s="32" t="s">
        <v>1110</v>
      </c>
      <c r="M193" s="31">
        <f>65620</f>
        <v>65620</v>
      </c>
      <c r="N193" s="32" t="s">
        <v>682</v>
      </c>
      <c r="O193" s="31">
        <f>55220</f>
        <v>55220</v>
      </c>
      <c r="P193" s="32" t="s">
        <v>679</v>
      </c>
      <c r="Q193" s="31">
        <f>59180</f>
        <v>59180</v>
      </c>
      <c r="R193" s="32" t="s">
        <v>681</v>
      </c>
      <c r="S193" s="33">
        <f>60579.55</f>
        <v>60579.55</v>
      </c>
      <c r="T193" s="30">
        <f>88814</f>
        <v>88814</v>
      </c>
      <c r="U193" s="30">
        <f>164</f>
        <v>164</v>
      </c>
      <c r="V193" s="30">
        <f>5368958520</f>
        <v>5368958520</v>
      </c>
      <c r="W193" s="30">
        <f>9884820</f>
        <v>9884820</v>
      </c>
      <c r="X193" s="34">
        <f>22</f>
        <v>22</v>
      </c>
    </row>
    <row r="194" spans="1:24">
      <c r="A194" s="25" t="s">
        <v>1185</v>
      </c>
      <c r="B194" s="25" t="s">
        <v>478</v>
      </c>
      <c r="C194" s="25" t="s">
        <v>479</v>
      </c>
      <c r="D194" s="25" t="s">
        <v>480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2760</f>
        <v>2760</v>
      </c>
      <c r="L194" s="32" t="s">
        <v>1110</v>
      </c>
      <c r="M194" s="31">
        <f>2835</f>
        <v>2835</v>
      </c>
      <c r="N194" s="32" t="s">
        <v>679</v>
      </c>
      <c r="O194" s="31">
        <f>2605</f>
        <v>2605</v>
      </c>
      <c r="P194" s="32" t="s">
        <v>682</v>
      </c>
      <c r="Q194" s="31">
        <f>2742</f>
        <v>2742</v>
      </c>
      <c r="R194" s="32" t="s">
        <v>681</v>
      </c>
      <c r="S194" s="33">
        <f>2703.05</f>
        <v>2703.05</v>
      </c>
      <c r="T194" s="30">
        <f>14995</f>
        <v>14995</v>
      </c>
      <c r="U194" s="30" t="str">
        <f>"－"</f>
        <v>－</v>
      </c>
      <c r="V194" s="30">
        <f>40848849</f>
        <v>40848849</v>
      </c>
      <c r="W194" s="30" t="str">
        <f>"－"</f>
        <v>－</v>
      </c>
      <c r="X194" s="34">
        <f>22</f>
        <v>22</v>
      </c>
    </row>
    <row r="195" spans="1:24">
      <c r="A195" s="25" t="s">
        <v>1185</v>
      </c>
      <c r="B195" s="25" t="s">
        <v>481</v>
      </c>
      <c r="C195" s="25" t="s">
        <v>482</v>
      </c>
      <c r="D195" s="25" t="s">
        <v>483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2601</f>
        <v>2601</v>
      </c>
      <c r="L195" s="32" t="s">
        <v>1110</v>
      </c>
      <c r="M195" s="31">
        <f>2730</f>
        <v>2730</v>
      </c>
      <c r="N195" s="32" t="s">
        <v>674</v>
      </c>
      <c r="O195" s="31">
        <f>2016</f>
        <v>2016</v>
      </c>
      <c r="P195" s="32" t="s">
        <v>681</v>
      </c>
      <c r="Q195" s="31">
        <f>2080</f>
        <v>2080</v>
      </c>
      <c r="R195" s="32" t="s">
        <v>681</v>
      </c>
      <c r="S195" s="33">
        <f>2418.14</f>
        <v>2418.14</v>
      </c>
      <c r="T195" s="30">
        <f>6682388</f>
        <v>6682388</v>
      </c>
      <c r="U195" s="30">
        <f>784</f>
        <v>784</v>
      </c>
      <c r="V195" s="30">
        <f>15711749807</f>
        <v>15711749807</v>
      </c>
      <c r="W195" s="30">
        <f>1742387</f>
        <v>1742387</v>
      </c>
      <c r="X195" s="34">
        <f>22</f>
        <v>22</v>
      </c>
    </row>
    <row r="196" spans="1:24">
      <c r="A196" s="25" t="s">
        <v>1185</v>
      </c>
      <c r="B196" s="25" t="s">
        <v>484</v>
      </c>
      <c r="C196" s="25" t="s">
        <v>485</v>
      </c>
      <c r="D196" s="25" t="s">
        <v>486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875</f>
        <v>875</v>
      </c>
      <c r="L196" s="32" t="s">
        <v>1110</v>
      </c>
      <c r="M196" s="31">
        <f>967</f>
        <v>967</v>
      </c>
      <c r="N196" s="32" t="s">
        <v>681</v>
      </c>
      <c r="O196" s="31">
        <f>853</f>
        <v>853</v>
      </c>
      <c r="P196" s="32" t="s">
        <v>674</v>
      </c>
      <c r="Q196" s="31">
        <f>953</f>
        <v>953</v>
      </c>
      <c r="R196" s="32" t="s">
        <v>681</v>
      </c>
      <c r="S196" s="33">
        <f>895.32</f>
        <v>895.32</v>
      </c>
      <c r="T196" s="30">
        <f>1873024</f>
        <v>1873024</v>
      </c>
      <c r="U196" s="30">
        <f>4</f>
        <v>4</v>
      </c>
      <c r="V196" s="30">
        <f>1700225299</f>
        <v>1700225299</v>
      </c>
      <c r="W196" s="30">
        <f>3191</f>
        <v>3191</v>
      </c>
      <c r="X196" s="34">
        <f>22</f>
        <v>22</v>
      </c>
    </row>
    <row r="197" spans="1:24">
      <c r="A197" s="25" t="s">
        <v>1185</v>
      </c>
      <c r="B197" s="25" t="s">
        <v>487</v>
      </c>
      <c r="C197" s="25" t="s">
        <v>488</v>
      </c>
      <c r="D197" s="25" t="s">
        <v>489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27830</f>
        <v>27830</v>
      </c>
      <c r="L197" s="32" t="s">
        <v>1110</v>
      </c>
      <c r="M197" s="31">
        <f>30750</f>
        <v>30750</v>
      </c>
      <c r="N197" s="32" t="s">
        <v>678</v>
      </c>
      <c r="O197" s="31">
        <f>27760</f>
        <v>27760</v>
      </c>
      <c r="P197" s="32" t="s">
        <v>1116</v>
      </c>
      <c r="Q197" s="31">
        <f>29725</f>
        <v>29725</v>
      </c>
      <c r="R197" s="32" t="s">
        <v>681</v>
      </c>
      <c r="S197" s="33">
        <f>28906.14</f>
        <v>28906.14</v>
      </c>
      <c r="T197" s="30">
        <f>45562</f>
        <v>45562</v>
      </c>
      <c r="U197" s="30">
        <f>20</f>
        <v>20</v>
      </c>
      <c r="V197" s="30">
        <f>1336994730</f>
        <v>1336994730</v>
      </c>
      <c r="W197" s="30">
        <f>585800</f>
        <v>585800</v>
      </c>
      <c r="X197" s="34">
        <f>22</f>
        <v>22</v>
      </c>
    </row>
    <row r="198" spans="1:24">
      <c r="A198" s="25" t="s">
        <v>1185</v>
      </c>
      <c r="B198" s="25" t="s">
        <v>490</v>
      </c>
      <c r="C198" s="25" t="s">
        <v>491</v>
      </c>
      <c r="D198" s="25" t="s">
        <v>492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2573</f>
        <v>2573</v>
      </c>
      <c r="L198" s="32" t="s">
        <v>1110</v>
      </c>
      <c r="M198" s="31">
        <f>2577</f>
        <v>2577</v>
      </c>
      <c r="N198" s="32" t="s">
        <v>1116</v>
      </c>
      <c r="O198" s="31">
        <f>2447</f>
        <v>2447</v>
      </c>
      <c r="P198" s="32" t="s">
        <v>678</v>
      </c>
      <c r="Q198" s="31">
        <f>2485</f>
        <v>2485</v>
      </c>
      <c r="R198" s="32" t="s">
        <v>681</v>
      </c>
      <c r="S198" s="33">
        <f>2516.59</f>
        <v>2516.59</v>
      </c>
      <c r="T198" s="30">
        <f>319328</f>
        <v>319328</v>
      </c>
      <c r="U198" s="30">
        <f>83</f>
        <v>83</v>
      </c>
      <c r="V198" s="30">
        <f>797078589</f>
        <v>797078589</v>
      </c>
      <c r="W198" s="30">
        <f>205952</f>
        <v>205952</v>
      </c>
      <c r="X198" s="34">
        <f>22</f>
        <v>22</v>
      </c>
    </row>
    <row r="199" spans="1:24">
      <c r="A199" s="25" t="s">
        <v>1185</v>
      </c>
      <c r="B199" s="25" t="s">
        <v>493</v>
      </c>
      <c r="C199" s="25" t="s">
        <v>1057</v>
      </c>
      <c r="D199" s="25" t="s">
        <v>1058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7002</f>
        <v>7002</v>
      </c>
      <c r="L199" s="32" t="s">
        <v>1110</v>
      </c>
      <c r="M199" s="31">
        <f>7454</f>
        <v>7454</v>
      </c>
      <c r="N199" s="32" t="s">
        <v>678</v>
      </c>
      <c r="O199" s="31">
        <f>6695</f>
        <v>6695</v>
      </c>
      <c r="P199" s="32" t="s">
        <v>681</v>
      </c>
      <c r="Q199" s="31">
        <f>6848</f>
        <v>6848</v>
      </c>
      <c r="R199" s="32" t="s">
        <v>681</v>
      </c>
      <c r="S199" s="33">
        <f>6979.32</f>
        <v>6979.32</v>
      </c>
      <c r="T199" s="30">
        <f>57260</f>
        <v>57260</v>
      </c>
      <c r="U199" s="30">
        <f>12</f>
        <v>12</v>
      </c>
      <c r="V199" s="30">
        <f>404860942</f>
        <v>404860942</v>
      </c>
      <c r="W199" s="30">
        <f>83380</f>
        <v>83380</v>
      </c>
      <c r="X199" s="34">
        <f>22</f>
        <v>22</v>
      </c>
    </row>
    <row r="200" spans="1:24">
      <c r="A200" s="25" t="s">
        <v>1185</v>
      </c>
      <c r="B200" s="25" t="s">
        <v>494</v>
      </c>
      <c r="C200" s="25" t="s">
        <v>495</v>
      </c>
      <c r="D200" s="25" t="s">
        <v>496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19680</f>
        <v>19680</v>
      </c>
      <c r="L200" s="32" t="s">
        <v>1110</v>
      </c>
      <c r="M200" s="31">
        <f>20200</f>
        <v>20200</v>
      </c>
      <c r="N200" s="32" t="s">
        <v>684</v>
      </c>
      <c r="O200" s="31">
        <f>19000</f>
        <v>19000</v>
      </c>
      <c r="P200" s="32" t="s">
        <v>883</v>
      </c>
      <c r="Q200" s="31">
        <f>19000</f>
        <v>19000</v>
      </c>
      <c r="R200" s="32" t="s">
        <v>681</v>
      </c>
      <c r="S200" s="33">
        <f>19654.76</f>
        <v>19654.759999999998</v>
      </c>
      <c r="T200" s="30">
        <f>459</f>
        <v>459</v>
      </c>
      <c r="U200" s="30" t="str">
        <f>"－"</f>
        <v>－</v>
      </c>
      <c r="V200" s="30">
        <f>9123385</f>
        <v>9123385</v>
      </c>
      <c r="W200" s="30" t="str">
        <f>"－"</f>
        <v>－</v>
      </c>
      <c r="X200" s="34">
        <f>21</f>
        <v>21</v>
      </c>
    </row>
    <row r="201" spans="1:24">
      <c r="A201" s="25" t="s">
        <v>1185</v>
      </c>
      <c r="B201" s="25" t="s">
        <v>497</v>
      </c>
      <c r="C201" s="25" t="s">
        <v>498</v>
      </c>
      <c r="D201" s="25" t="s">
        <v>499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29695</f>
        <v>29695</v>
      </c>
      <c r="L201" s="32" t="s">
        <v>1110</v>
      </c>
      <c r="M201" s="31">
        <f>30160</f>
        <v>30160</v>
      </c>
      <c r="N201" s="32" t="s">
        <v>682</v>
      </c>
      <c r="O201" s="31">
        <f>28630</f>
        <v>28630</v>
      </c>
      <c r="P201" s="32" t="s">
        <v>679</v>
      </c>
      <c r="Q201" s="31">
        <f>29635</f>
        <v>29635</v>
      </c>
      <c r="R201" s="32" t="s">
        <v>681</v>
      </c>
      <c r="S201" s="33">
        <f>29437.73</f>
        <v>29437.73</v>
      </c>
      <c r="T201" s="30">
        <f>10375</f>
        <v>10375</v>
      </c>
      <c r="U201" s="30" t="str">
        <f>"－"</f>
        <v>－</v>
      </c>
      <c r="V201" s="30">
        <f>305520460</f>
        <v>305520460</v>
      </c>
      <c r="W201" s="30" t="str">
        <f>"－"</f>
        <v>－</v>
      </c>
      <c r="X201" s="34">
        <f>22</f>
        <v>22</v>
      </c>
    </row>
    <row r="202" spans="1:24">
      <c r="A202" s="25" t="s">
        <v>1185</v>
      </c>
      <c r="B202" s="25" t="s">
        <v>500</v>
      </c>
      <c r="C202" s="25" t="s">
        <v>501</v>
      </c>
      <c r="D202" s="25" t="s">
        <v>502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16230</f>
        <v>16230</v>
      </c>
      <c r="L202" s="32" t="s">
        <v>1116</v>
      </c>
      <c r="M202" s="31">
        <f>17055</f>
        <v>17055</v>
      </c>
      <c r="N202" s="32" t="s">
        <v>760</v>
      </c>
      <c r="O202" s="31">
        <f>16200</f>
        <v>16200</v>
      </c>
      <c r="P202" s="32" t="s">
        <v>1145</v>
      </c>
      <c r="Q202" s="31">
        <f>16640</f>
        <v>16640</v>
      </c>
      <c r="R202" s="32" t="s">
        <v>681</v>
      </c>
      <c r="S202" s="33">
        <f>16611.15</f>
        <v>16611.150000000001</v>
      </c>
      <c r="T202" s="30">
        <f>239</f>
        <v>239</v>
      </c>
      <c r="U202" s="30" t="str">
        <f>"－"</f>
        <v>－</v>
      </c>
      <c r="V202" s="30">
        <f>3963920</f>
        <v>3963920</v>
      </c>
      <c r="W202" s="30" t="str">
        <f>"－"</f>
        <v>－</v>
      </c>
      <c r="X202" s="34">
        <f>13</f>
        <v>13</v>
      </c>
    </row>
    <row r="203" spans="1:24">
      <c r="A203" s="25" t="s">
        <v>1185</v>
      </c>
      <c r="B203" s="25" t="s">
        <v>503</v>
      </c>
      <c r="C203" s="25" t="s">
        <v>504</v>
      </c>
      <c r="D203" s="25" t="s">
        <v>505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36140</f>
        <v>36140</v>
      </c>
      <c r="L203" s="32" t="s">
        <v>1110</v>
      </c>
      <c r="M203" s="31">
        <f>39410</f>
        <v>39410</v>
      </c>
      <c r="N203" s="32" t="s">
        <v>1145</v>
      </c>
      <c r="O203" s="31">
        <f>33140</f>
        <v>33140</v>
      </c>
      <c r="P203" s="32" t="s">
        <v>679</v>
      </c>
      <c r="Q203" s="31">
        <f>36320</f>
        <v>36320</v>
      </c>
      <c r="R203" s="32" t="s">
        <v>681</v>
      </c>
      <c r="S203" s="33">
        <f>36647.73</f>
        <v>36647.730000000003</v>
      </c>
      <c r="T203" s="30">
        <f>178071</f>
        <v>178071</v>
      </c>
      <c r="U203" s="30">
        <f>151</f>
        <v>151</v>
      </c>
      <c r="V203" s="30">
        <f>6543685880</f>
        <v>6543685880</v>
      </c>
      <c r="W203" s="30">
        <f>5467260</f>
        <v>5467260</v>
      </c>
      <c r="X203" s="34">
        <f>22</f>
        <v>22</v>
      </c>
    </row>
    <row r="204" spans="1:24">
      <c r="A204" s="25" t="s">
        <v>1185</v>
      </c>
      <c r="B204" s="25" t="s">
        <v>506</v>
      </c>
      <c r="C204" s="25" t="s">
        <v>507</v>
      </c>
      <c r="D204" s="25" t="s">
        <v>508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3800</f>
        <v>3800</v>
      </c>
      <c r="L204" s="32" t="s">
        <v>1110</v>
      </c>
      <c r="M204" s="31">
        <f>3865</f>
        <v>3865</v>
      </c>
      <c r="N204" s="32" t="s">
        <v>1110</v>
      </c>
      <c r="O204" s="31">
        <f>3490</f>
        <v>3490</v>
      </c>
      <c r="P204" s="32" t="s">
        <v>883</v>
      </c>
      <c r="Q204" s="31">
        <f>3505</f>
        <v>3505</v>
      </c>
      <c r="R204" s="32" t="s">
        <v>681</v>
      </c>
      <c r="S204" s="33">
        <f>3703.86</f>
        <v>3703.86</v>
      </c>
      <c r="T204" s="30">
        <f>9420</f>
        <v>9420</v>
      </c>
      <c r="U204" s="30" t="str">
        <f t="shared" ref="U204:U213" si="3">"－"</f>
        <v>－</v>
      </c>
      <c r="V204" s="30">
        <f>34630100</f>
        <v>34630100</v>
      </c>
      <c r="W204" s="30" t="str">
        <f t="shared" ref="W204:W213" si="4">"－"</f>
        <v>－</v>
      </c>
      <c r="X204" s="34">
        <f>22</f>
        <v>22</v>
      </c>
    </row>
    <row r="205" spans="1:24">
      <c r="A205" s="25" t="s">
        <v>1185</v>
      </c>
      <c r="B205" s="25" t="s">
        <v>509</v>
      </c>
      <c r="C205" s="25" t="s">
        <v>510</v>
      </c>
      <c r="D205" s="25" t="s">
        <v>511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33350</f>
        <v>33350</v>
      </c>
      <c r="L205" s="32" t="s">
        <v>1110</v>
      </c>
      <c r="M205" s="31">
        <f>33960</f>
        <v>33960</v>
      </c>
      <c r="N205" s="32" t="s">
        <v>684</v>
      </c>
      <c r="O205" s="31">
        <f>30030</f>
        <v>30030</v>
      </c>
      <c r="P205" s="32" t="s">
        <v>679</v>
      </c>
      <c r="Q205" s="31">
        <f>31280</f>
        <v>31280</v>
      </c>
      <c r="R205" s="32" t="s">
        <v>681</v>
      </c>
      <c r="S205" s="33">
        <f>32631.82</f>
        <v>32631.82</v>
      </c>
      <c r="T205" s="30">
        <f>6481</f>
        <v>6481</v>
      </c>
      <c r="U205" s="30" t="str">
        <f t="shared" si="3"/>
        <v>－</v>
      </c>
      <c r="V205" s="30">
        <f>210920460</f>
        <v>210920460</v>
      </c>
      <c r="W205" s="30" t="str">
        <f t="shared" si="4"/>
        <v>－</v>
      </c>
      <c r="X205" s="34">
        <f>22</f>
        <v>22</v>
      </c>
    </row>
    <row r="206" spans="1:24">
      <c r="A206" s="25" t="s">
        <v>1185</v>
      </c>
      <c r="B206" s="25" t="s">
        <v>512</v>
      </c>
      <c r="C206" s="25" t="s">
        <v>513</v>
      </c>
      <c r="D206" s="25" t="s">
        <v>514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19545</f>
        <v>19545</v>
      </c>
      <c r="L206" s="32" t="s">
        <v>1110</v>
      </c>
      <c r="M206" s="31">
        <f>19725</f>
        <v>19725</v>
      </c>
      <c r="N206" s="32" t="s">
        <v>678</v>
      </c>
      <c r="O206" s="31">
        <f>18800</f>
        <v>18800</v>
      </c>
      <c r="P206" s="32" t="s">
        <v>676</v>
      </c>
      <c r="Q206" s="31">
        <f>19120</f>
        <v>19120</v>
      </c>
      <c r="R206" s="32" t="s">
        <v>681</v>
      </c>
      <c r="S206" s="33">
        <f>19301.5</f>
        <v>19301.5</v>
      </c>
      <c r="T206" s="30">
        <f>217</f>
        <v>217</v>
      </c>
      <c r="U206" s="30" t="str">
        <f t="shared" si="3"/>
        <v>－</v>
      </c>
      <c r="V206" s="30">
        <f>4194930</f>
        <v>4194930</v>
      </c>
      <c r="W206" s="30" t="str">
        <f t="shared" si="4"/>
        <v>－</v>
      </c>
      <c r="X206" s="34">
        <f>10</f>
        <v>10</v>
      </c>
    </row>
    <row r="207" spans="1:24">
      <c r="A207" s="25" t="s">
        <v>1185</v>
      </c>
      <c r="B207" s="25" t="s">
        <v>515</v>
      </c>
      <c r="C207" s="25" t="s">
        <v>516</v>
      </c>
      <c r="D207" s="25" t="s">
        <v>517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37480</f>
        <v>37480</v>
      </c>
      <c r="L207" s="32" t="s">
        <v>1110</v>
      </c>
      <c r="M207" s="31">
        <f>38210</f>
        <v>38210</v>
      </c>
      <c r="N207" s="32" t="s">
        <v>684</v>
      </c>
      <c r="O207" s="31">
        <f>34370</f>
        <v>34370</v>
      </c>
      <c r="P207" s="32" t="s">
        <v>679</v>
      </c>
      <c r="Q207" s="31">
        <f>35040</f>
        <v>35040</v>
      </c>
      <c r="R207" s="32" t="s">
        <v>681</v>
      </c>
      <c r="S207" s="33">
        <f>36893.5</f>
        <v>36893.5</v>
      </c>
      <c r="T207" s="30">
        <f>2823</f>
        <v>2823</v>
      </c>
      <c r="U207" s="30" t="str">
        <f t="shared" si="3"/>
        <v>－</v>
      </c>
      <c r="V207" s="30">
        <f>105099750</f>
        <v>105099750</v>
      </c>
      <c r="W207" s="30" t="str">
        <f t="shared" si="4"/>
        <v>－</v>
      </c>
      <c r="X207" s="34">
        <f>20</f>
        <v>20</v>
      </c>
    </row>
    <row r="208" spans="1:24">
      <c r="A208" s="25" t="s">
        <v>1185</v>
      </c>
      <c r="B208" s="25" t="s">
        <v>518</v>
      </c>
      <c r="C208" s="25" t="s">
        <v>519</v>
      </c>
      <c r="D208" s="25" t="s">
        <v>520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20055</f>
        <v>20055</v>
      </c>
      <c r="L208" s="32" t="s">
        <v>876</v>
      </c>
      <c r="M208" s="31">
        <f>20105</f>
        <v>20105</v>
      </c>
      <c r="N208" s="32" t="s">
        <v>684</v>
      </c>
      <c r="O208" s="31">
        <f>19215</f>
        <v>19215</v>
      </c>
      <c r="P208" s="32" t="s">
        <v>883</v>
      </c>
      <c r="Q208" s="31">
        <f>19215</f>
        <v>19215</v>
      </c>
      <c r="R208" s="32" t="s">
        <v>883</v>
      </c>
      <c r="S208" s="33">
        <f>19867.5</f>
        <v>19867.5</v>
      </c>
      <c r="T208" s="30">
        <f>8</f>
        <v>8</v>
      </c>
      <c r="U208" s="30" t="str">
        <f t="shared" si="3"/>
        <v>－</v>
      </c>
      <c r="V208" s="30">
        <f>159105</f>
        <v>159105</v>
      </c>
      <c r="W208" s="30" t="str">
        <f t="shared" si="4"/>
        <v>－</v>
      </c>
      <c r="X208" s="34">
        <f>6</f>
        <v>6</v>
      </c>
    </row>
    <row r="209" spans="1:24">
      <c r="A209" s="25" t="s">
        <v>1185</v>
      </c>
      <c r="B209" s="25" t="s">
        <v>521</v>
      </c>
      <c r="C209" s="25" t="s">
        <v>522</v>
      </c>
      <c r="D209" s="25" t="s">
        <v>523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19900</f>
        <v>19900</v>
      </c>
      <c r="L209" s="32" t="s">
        <v>1110</v>
      </c>
      <c r="M209" s="31">
        <f>20610</f>
        <v>20610</v>
      </c>
      <c r="N209" s="32" t="s">
        <v>684</v>
      </c>
      <c r="O209" s="31">
        <f>19000</f>
        <v>19000</v>
      </c>
      <c r="P209" s="32" t="s">
        <v>679</v>
      </c>
      <c r="Q209" s="31">
        <f>19235</f>
        <v>19235</v>
      </c>
      <c r="R209" s="32" t="s">
        <v>681</v>
      </c>
      <c r="S209" s="33">
        <f>19984.05</f>
        <v>19984.05</v>
      </c>
      <c r="T209" s="30">
        <f>814</f>
        <v>814</v>
      </c>
      <c r="U209" s="30" t="str">
        <f t="shared" si="3"/>
        <v>－</v>
      </c>
      <c r="V209" s="30">
        <f>16358250</f>
        <v>16358250</v>
      </c>
      <c r="W209" s="30" t="str">
        <f t="shared" si="4"/>
        <v>－</v>
      </c>
      <c r="X209" s="34">
        <f>21</f>
        <v>21</v>
      </c>
    </row>
    <row r="210" spans="1:24">
      <c r="A210" s="25" t="s">
        <v>1185</v>
      </c>
      <c r="B210" s="25" t="s">
        <v>524</v>
      </c>
      <c r="C210" s="25" t="s">
        <v>525</v>
      </c>
      <c r="D210" s="25" t="s">
        <v>526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24520</f>
        <v>24520</v>
      </c>
      <c r="L210" s="32" t="s">
        <v>1110</v>
      </c>
      <c r="M210" s="31">
        <f>24855</f>
        <v>24855</v>
      </c>
      <c r="N210" s="32" t="s">
        <v>675</v>
      </c>
      <c r="O210" s="31">
        <f>22585</f>
        <v>22585</v>
      </c>
      <c r="P210" s="32" t="s">
        <v>676</v>
      </c>
      <c r="Q210" s="31">
        <f>23260</f>
        <v>23260</v>
      </c>
      <c r="R210" s="32" t="s">
        <v>883</v>
      </c>
      <c r="S210" s="33">
        <f>23741.67</f>
        <v>23741.67</v>
      </c>
      <c r="T210" s="30">
        <f>103</f>
        <v>103</v>
      </c>
      <c r="U210" s="30" t="str">
        <f t="shared" si="3"/>
        <v>－</v>
      </c>
      <c r="V210" s="30">
        <f>2377770</f>
        <v>2377770</v>
      </c>
      <c r="W210" s="30" t="str">
        <f t="shared" si="4"/>
        <v>－</v>
      </c>
      <c r="X210" s="34">
        <f>6</f>
        <v>6</v>
      </c>
    </row>
    <row r="211" spans="1:24">
      <c r="A211" s="25" t="s">
        <v>1185</v>
      </c>
      <c r="B211" s="25" t="s">
        <v>527</v>
      </c>
      <c r="C211" s="25" t="s">
        <v>528</v>
      </c>
      <c r="D211" s="25" t="s">
        <v>529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 t="str">
        <f>"－"</f>
        <v>－</v>
      </c>
      <c r="L211" s="32"/>
      <c r="M211" s="31" t="str">
        <f>"－"</f>
        <v>－</v>
      </c>
      <c r="N211" s="32"/>
      <c r="O211" s="31" t="str">
        <f>"－"</f>
        <v>－</v>
      </c>
      <c r="P211" s="32"/>
      <c r="Q211" s="31" t="str">
        <f>"－"</f>
        <v>－</v>
      </c>
      <c r="R211" s="32"/>
      <c r="S211" s="33" t="str">
        <f>"－"</f>
        <v>－</v>
      </c>
      <c r="T211" s="30" t="str">
        <f>"－"</f>
        <v>－</v>
      </c>
      <c r="U211" s="30" t="str">
        <f t="shared" si="3"/>
        <v>－</v>
      </c>
      <c r="V211" s="30" t="str">
        <f>"－"</f>
        <v>－</v>
      </c>
      <c r="W211" s="30" t="str">
        <f t="shared" si="4"/>
        <v>－</v>
      </c>
      <c r="X211" s="34" t="str">
        <f>"－"</f>
        <v>－</v>
      </c>
    </row>
    <row r="212" spans="1:24">
      <c r="A212" s="25" t="s">
        <v>1185</v>
      </c>
      <c r="B212" s="25" t="s">
        <v>530</v>
      </c>
      <c r="C212" s="25" t="s">
        <v>531</v>
      </c>
      <c r="D212" s="25" t="s">
        <v>532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11865</f>
        <v>11865</v>
      </c>
      <c r="L212" s="32" t="s">
        <v>1116</v>
      </c>
      <c r="M212" s="31">
        <f>12280</f>
        <v>12280</v>
      </c>
      <c r="N212" s="32" t="s">
        <v>684</v>
      </c>
      <c r="O212" s="31">
        <f>11700</f>
        <v>11700</v>
      </c>
      <c r="P212" s="32" t="s">
        <v>679</v>
      </c>
      <c r="Q212" s="31">
        <f>11945</f>
        <v>11945</v>
      </c>
      <c r="R212" s="32" t="s">
        <v>681</v>
      </c>
      <c r="S212" s="33">
        <f>12038.44</f>
        <v>12038.44</v>
      </c>
      <c r="T212" s="30">
        <f>10633</f>
        <v>10633</v>
      </c>
      <c r="U212" s="30" t="str">
        <f t="shared" si="3"/>
        <v>－</v>
      </c>
      <c r="V212" s="30">
        <f>127875805</f>
        <v>127875805</v>
      </c>
      <c r="W212" s="30" t="str">
        <f t="shared" si="4"/>
        <v>－</v>
      </c>
      <c r="X212" s="34">
        <f>16</f>
        <v>16</v>
      </c>
    </row>
    <row r="213" spans="1:24">
      <c r="A213" s="25" t="s">
        <v>1185</v>
      </c>
      <c r="B213" s="25" t="s">
        <v>533</v>
      </c>
      <c r="C213" s="25" t="s">
        <v>534</v>
      </c>
      <c r="D213" s="25" t="s">
        <v>535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14170</f>
        <v>14170</v>
      </c>
      <c r="L213" s="32" t="s">
        <v>1110</v>
      </c>
      <c r="M213" s="31">
        <f>14710</f>
        <v>14710</v>
      </c>
      <c r="N213" s="32" t="s">
        <v>684</v>
      </c>
      <c r="O213" s="31">
        <f>13790</f>
        <v>13790</v>
      </c>
      <c r="P213" s="32" t="s">
        <v>681</v>
      </c>
      <c r="Q213" s="31">
        <f>14020</f>
        <v>14020</v>
      </c>
      <c r="R213" s="32" t="s">
        <v>681</v>
      </c>
      <c r="S213" s="33">
        <f>14329.5</f>
        <v>14329.5</v>
      </c>
      <c r="T213" s="30">
        <f>23096</f>
        <v>23096</v>
      </c>
      <c r="U213" s="30" t="str">
        <f t="shared" si="3"/>
        <v>－</v>
      </c>
      <c r="V213" s="30">
        <f>330871040</f>
        <v>330871040</v>
      </c>
      <c r="W213" s="30" t="str">
        <f t="shared" si="4"/>
        <v>－</v>
      </c>
      <c r="X213" s="34">
        <f>20</f>
        <v>20</v>
      </c>
    </row>
    <row r="214" spans="1:24">
      <c r="A214" s="25" t="s">
        <v>1185</v>
      </c>
      <c r="B214" s="25" t="s">
        <v>536</v>
      </c>
      <c r="C214" s="25" t="s">
        <v>537</v>
      </c>
      <c r="D214" s="25" t="s">
        <v>538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12830</f>
        <v>12830</v>
      </c>
      <c r="L214" s="32" t="s">
        <v>1116</v>
      </c>
      <c r="M214" s="31">
        <f>13205</f>
        <v>13205</v>
      </c>
      <c r="N214" s="32" t="s">
        <v>684</v>
      </c>
      <c r="O214" s="31">
        <f>12565</f>
        <v>12565</v>
      </c>
      <c r="P214" s="32" t="s">
        <v>679</v>
      </c>
      <c r="Q214" s="31">
        <f>12840</f>
        <v>12840</v>
      </c>
      <c r="R214" s="32" t="s">
        <v>681</v>
      </c>
      <c r="S214" s="33">
        <f>12884.29</f>
        <v>12884.29</v>
      </c>
      <c r="T214" s="30">
        <f>41759</f>
        <v>41759</v>
      </c>
      <c r="U214" s="30">
        <f>15000</f>
        <v>15000</v>
      </c>
      <c r="V214" s="30">
        <f>537395515</f>
        <v>537395515</v>
      </c>
      <c r="W214" s="30">
        <f>191565000</f>
        <v>191565000</v>
      </c>
      <c r="X214" s="34">
        <f>14</f>
        <v>14</v>
      </c>
    </row>
    <row r="215" spans="1:24">
      <c r="A215" s="25" t="s">
        <v>1185</v>
      </c>
      <c r="B215" s="25" t="s">
        <v>783</v>
      </c>
      <c r="C215" s="25" t="s">
        <v>784</v>
      </c>
      <c r="D215" s="25" t="s">
        <v>785</v>
      </c>
      <c r="E215" s="26" t="s">
        <v>43</v>
      </c>
      <c r="F215" s="27" t="s">
        <v>43</v>
      </c>
      <c r="G215" s="28" t="s">
        <v>43</v>
      </c>
      <c r="H215" s="29"/>
      <c r="I215" s="29" t="s">
        <v>465</v>
      </c>
      <c r="J215" s="30">
        <v>1</v>
      </c>
      <c r="K215" s="31">
        <f>12355</f>
        <v>12355</v>
      </c>
      <c r="L215" s="32" t="s">
        <v>1145</v>
      </c>
      <c r="M215" s="31">
        <f>12800</f>
        <v>12800</v>
      </c>
      <c r="N215" s="32" t="s">
        <v>677</v>
      </c>
      <c r="O215" s="31">
        <f>12355</f>
        <v>12355</v>
      </c>
      <c r="P215" s="32" t="s">
        <v>1145</v>
      </c>
      <c r="Q215" s="31">
        <f>12780</f>
        <v>12780</v>
      </c>
      <c r="R215" s="32" t="s">
        <v>680</v>
      </c>
      <c r="S215" s="33">
        <f>12637.5</f>
        <v>12637.5</v>
      </c>
      <c r="T215" s="30">
        <f>733</f>
        <v>733</v>
      </c>
      <c r="U215" s="30" t="str">
        <f>"－"</f>
        <v>－</v>
      </c>
      <c r="V215" s="30">
        <f>9381750</f>
        <v>9381750</v>
      </c>
      <c r="W215" s="30" t="str">
        <f>"－"</f>
        <v>－</v>
      </c>
      <c r="X215" s="34">
        <f>4</f>
        <v>4</v>
      </c>
    </row>
    <row r="216" spans="1:24">
      <c r="A216" s="25" t="s">
        <v>1185</v>
      </c>
      <c r="B216" s="25" t="s">
        <v>991</v>
      </c>
      <c r="C216" s="25" t="s">
        <v>992</v>
      </c>
      <c r="D216" s="25" t="s">
        <v>993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1246</f>
        <v>1246</v>
      </c>
      <c r="L216" s="32" t="s">
        <v>1110</v>
      </c>
      <c r="M216" s="31">
        <f>1278</f>
        <v>1278</v>
      </c>
      <c r="N216" s="32" t="s">
        <v>674</v>
      </c>
      <c r="O216" s="31">
        <f>1185</f>
        <v>1185</v>
      </c>
      <c r="P216" s="32" t="s">
        <v>676</v>
      </c>
      <c r="Q216" s="31">
        <f>1240</f>
        <v>1240</v>
      </c>
      <c r="R216" s="32" t="s">
        <v>681</v>
      </c>
      <c r="S216" s="33">
        <f>1244.55</f>
        <v>1244.55</v>
      </c>
      <c r="T216" s="30">
        <f>2965635</f>
        <v>2965635</v>
      </c>
      <c r="U216" s="30">
        <f>125811</f>
        <v>125811</v>
      </c>
      <c r="V216" s="30">
        <f>3678885932</f>
        <v>3678885932</v>
      </c>
      <c r="W216" s="30">
        <f>154492090</f>
        <v>154492090</v>
      </c>
      <c r="X216" s="34">
        <f>22</f>
        <v>22</v>
      </c>
    </row>
    <row r="217" spans="1:24">
      <c r="A217" s="25" t="s">
        <v>1185</v>
      </c>
      <c r="B217" s="25" t="s">
        <v>994</v>
      </c>
      <c r="C217" s="25" t="s">
        <v>995</v>
      </c>
      <c r="D217" s="25" t="s">
        <v>996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1265</f>
        <v>1265</v>
      </c>
      <c r="L217" s="32" t="s">
        <v>1110</v>
      </c>
      <c r="M217" s="31">
        <f>1305</f>
        <v>1305</v>
      </c>
      <c r="N217" s="32" t="s">
        <v>684</v>
      </c>
      <c r="O217" s="31">
        <f>1202</f>
        <v>1202</v>
      </c>
      <c r="P217" s="32" t="s">
        <v>676</v>
      </c>
      <c r="Q217" s="31">
        <f>1258</f>
        <v>1258</v>
      </c>
      <c r="R217" s="32" t="s">
        <v>681</v>
      </c>
      <c r="S217" s="33">
        <f>1265.64</f>
        <v>1265.6400000000001</v>
      </c>
      <c r="T217" s="30">
        <f>139724</f>
        <v>139724</v>
      </c>
      <c r="U217" s="30" t="str">
        <f>"－"</f>
        <v>－</v>
      </c>
      <c r="V217" s="30">
        <f>176600769</f>
        <v>176600769</v>
      </c>
      <c r="W217" s="30" t="str">
        <f>"－"</f>
        <v>－</v>
      </c>
      <c r="X217" s="34">
        <f>22</f>
        <v>22</v>
      </c>
    </row>
    <row r="218" spans="1:24">
      <c r="A218" s="25" t="s">
        <v>1185</v>
      </c>
      <c r="B218" s="25" t="s">
        <v>997</v>
      </c>
      <c r="C218" s="25" t="s">
        <v>998</v>
      </c>
      <c r="D218" s="25" t="s">
        <v>999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1057</f>
        <v>1057</v>
      </c>
      <c r="L218" s="32" t="s">
        <v>1110</v>
      </c>
      <c r="M218" s="31">
        <f>1082</f>
        <v>1082</v>
      </c>
      <c r="N218" s="32" t="s">
        <v>760</v>
      </c>
      <c r="O218" s="31">
        <f>1016</f>
        <v>1016</v>
      </c>
      <c r="P218" s="32" t="s">
        <v>676</v>
      </c>
      <c r="Q218" s="31">
        <f>1040</f>
        <v>1040</v>
      </c>
      <c r="R218" s="32" t="s">
        <v>681</v>
      </c>
      <c r="S218" s="33">
        <f>1052.09</f>
        <v>1052.0899999999999</v>
      </c>
      <c r="T218" s="30">
        <f>83992</f>
        <v>83992</v>
      </c>
      <c r="U218" s="30" t="str">
        <f>"－"</f>
        <v>－</v>
      </c>
      <c r="V218" s="30">
        <f>89213547</f>
        <v>89213547</v>
      </c>
      <c r="W218" s="30" t="str">
        <f>"－"</f>
        <v>－</v>
      </c>
      <c r="X218" s="34">
        <f>22</f>
        <v>22</v>
      </c>
    </row>
    <row r="219" spans="1:24">
      <c r="A219" s="25" t="s">
        <v>1185</v>
      </c>
      <c r="B219" s="25" t="s">
        <v>1000</v>
      </c>
      <c r="C219" s="25" t="s">
        <v>1001</v>
      </c>
      <c r="D219" s="25" t="s">
        <v>1002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2376</f>
        <v>2376</v>
      </c>
      <c r="L219" s="32" t="s">
        <v>1110</v>
      </c>
      <c r="M219" s="31">
        <f>2457</f>
        <v>2457</v>
      </c>
      <c r="N219" s="32" t="s">
        <v>684</v>
      </c>
      <c r="O219" s="31">
        <f>2214</f>
        <v>2214</v>
      </c>
      <c r="P219" s="32" t="s">
        <v>676</v>
      </c>
      <c r="Q219" s="31">
        <f>2304</f>
        <v>2304</v>
      </c>
      <c r="R219" s="32" t="s">
        <v>681</v>
      </c>
      <c r="S219" s="33">
        <f>2359.77</f>
        <v>2359.77</v>
      </c>
      <c r="T219" s="30">
        <f>343749</f>
        <v>343749</v>
      </c>
      <c r="U219" s="30">
        <f>52</f>
        <v>52</v>
      </c>
      <c r="V219" s="30">
        <f>810420825</f>
        <v>810420825</v>
      </c>
      <c r="W219" s="30">
        <f>124775</f>
        <v>124775</v>
      </c>
      <c r="X219" s="34">
        <f>22</f>
        <v>22</v>
      </c>
    </row>
    <row r="220" spans="1:24">
      <c r="A220" s="25" t="s">
        <v>1185</v>
      </c>
      <c r="B220" s="25" t="s">
        <v>1003</v>
      </c>
      <c r="C220" s="25" t="s">
        <v>1004</v>
      </c>
      <c r="D220" s="25" t="s">
        <v>1005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</v>
      </c>
      <c r="K220" s="31">
        <f>2380</f>
        <v>2380</v>
      </c>
      <c r="L220" s="32" t="s">
        <v>1110</v>
      </c>
      <c r="M220" s="31">
        <f>2437</f>
        <v>2437</v>
      </c>
      <c r="N220" s="32" t="s">
        <v>675</v>
      </c>
      <c r="O220" s="31">
        <f>2278</f>
        <v>2278</v>
      </c>
      <c r="P220" s="32" t="s">
        <v>676</v>
      </c>
      <c r="Q220" s="31">
        <f>2379</f>
        <v>2379</v>
      </c>
      <c r="R220" s="32" t="s">
        <v>681</v>
      </c>
      <c r="S220" s="33">
        <f>2377.41</f>
        <v>2377.41</v>
      </c>
      <c r="T220" s="30">
        <f>1210492</f>
        <v>1210492</v>
      </c>
      <c r="U220" s="30">
        <f>185967</f>
        <v>185967</v>
      </c>
      <c r="V220" s="30">
        <f>2852064829</f>
        <v>2852064829</v>
      </c>
      <c r="W220" s="30">
        <f>446905706</f>
        <v>446905706</v>
      </c>
      <c r="X220" s="34">
        <f>22</f>
        <v>22</v>
      </c>
    </row>
    <row r="221" spans="1:24">
      <c r="A221" s="25" t="s">
        <v>1185</v>
      </c>
      <c r="B221" s="25" t="s">
        <v>1006</v>
      </c>
      <c r="C221" s="25" t="s">
        <v>1007</v>
      </c>
      <c r="D221" s="25" t="s">
        <v>1008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573.9</f>
        <v>573.9</v>
      </c>
      <c r="L221" s="32" t="s">
        <v>1110</v>
      </c>
      <c r="M221" s="31">
        <f>592</f>
        <v>592</v>
      </c>
      <c r="N221" s="32" t="s">
        <v>678</v>
      </c>
      <c r="O221" s="31">
        <f>557.3</f>
        <v>557.29999999999995</v>
      </c>
      <c r="P221" s="32" t="s">
        <v>676</v>
      </c>
      <c r="Q221" s="31">
        <f>574.6</f>
        <v>574.6</v>
      </c>
      <c r="R221" s="32" t="s">
        <v>681</v>
      </c>
      <c r="S221" s="33">
        <f>579.03</f>
        <v>579.03</v>
      </c>
      <c r="T221" s="30">
        <f>3231330</f>
        <v>3231330</v>
      </c>
      <c r="U221" s="30">
        <f>1393150</f>
        <v>1393150</v>
      </c>
      <c r="V221" s="30">
        <f>1878993593</f>
        <v>1878993593</v>
      </c>
      <c r="W221" s="30">
        <f>816537637</f>
        <v>816537637</v>
      </c>
      <c r="X221" s="34">
        <f>22</f>
        <v>22</v>
      </c>
    </row>
    <row r="222" spans="1:24">
      <c r="A222" s="25" t="s">
        <v>1185</v>
      </c>
      <c r="B222" s="25" t="s">
        <v>1009</v>
      </c>
      <c r="C222" s="25" t="s">
        <v>1010</v>
      </c>
      <c r="D222" s="25" t="s">
        <v>1011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2395.5</f>
        <v>2395.5</v>
      </c>
      <c r="L222" s="32" t="s">
        <v>1145</v>
      </c>
      <c r="M222" s="31">
        <f>2497</f>
        <v>2497</v>
      </c>
      <c r="N222" s="32" t="s">
        <v>677</v>
      </c>
      <c r="O222" s="31">
        <f>2353</f>
        <v>2353</v>
      </c>
      <c r="P222" s="32" t="s">
        <v>676</v>
      </c>
      <c r="Q222" s="31">
        <f>2379.5</f>
        <v>2379.5</v>
      </c>
      <c r="R222" s="32" t="s">
        <v>883</v>
      </c>
      <c r="S222" s="33">
        <f>2402.23</f>
        <v>2402.23</v>
      </c>
      <c r="T222" s="30">
        <f>168260</f>
        <v>168260</v>
      </c>
      <c r="U222" s="30">
        <f>167400</f>
        <v>167400</v>
      </c>
      <c r="V222" s="30">
        <f>401769329</f>
        <v>401769329</v>
      </c>
      <c r="W222" s="30">
        <f>399691904</f>
        <v>399691904</v>
      </c>
      <c r="X222" s="34">
        <f>11</f>
        <v>11</v>
      </c>
    </row>
    <row r="223" spans="1:24">
      <c r="A223" s="25" t="s">
        <v>1185</v>
      </c>
      <c r="B223" s="25" t="s">
        <v>1012</v>
      </c>
      <c r="C223" s="25" t="s">
        <v>1013</v>
      </c>
      <c r="D223" s="25" t="s">
        <v>1014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2527.5</f>
        <v>2527.5</v>
      </c>
      <c r="L223" s="32" t="s">
        <v>1110</v>
      </c>
      <c r="M223" s="31">
        <f>2645.5</f>
        <v>2645.5</v>
      </c>
      <c r="N223" s="32" t="s">
        <v>678</v>
      </c>
      <c r="O223" s="31">
        <f>2408</f>
        <v>2408</v>
      </c>
      <c r="P223" s="32" t="s">
        <v>681</v>
      </c>
      <c r="Q223" s="31">
        <f>2418.5</f>
        <v>2418.5</v>
      </c>
      <c r="R223" s="32" t="s">
        <v>681</v>
      </c>
      <c r="S223" s="33">
        <f>2525.84</f>
        <v>2525.84</v>
      </c>
      <c r="T223" s="30">
        <f>2870</f>
        <v>2870</v>
      </c>
      <c r="U223" s="30" t="str">
        <f>"－"</f>
        <v>－</v>
      </c>
      <c r="V223" s="30">
        <f>7318800</f>
        <v>7318800</v>
      </c>
      <c r="W223" s="30" t="str">
        <f>"－"</f>
        <v>－</v>
      </c>
      <c r="X223" s="34">
        <f>16</f>
        <v>16</v>
      </c>
    </row>
    <row r="224" spans="1:24">
      <c r="A224" s="25" t="s">
        <v>1185</v>
      </c>
      <c r="B224" s="25" t="s">
        <v>1015</v>
      </c>
      <c r="C224" s="25" t="s">
        <v>1016</v>
      </c>
      <c r="D224" s="25" t="s">
        <v>1017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2249</f>
        <v>2249</v>
      </c>
      <c r="L224" s="32" t="s">
        <v>883</v>
      </c>
      <c r="M224" s="31">
        <f>2249</f>
        <v>2249</v>
      </c>
      <c r="N224" s="32" t="s">
        <v>883</v>
      </c>
      <c r="O224" s="31">
        <f>2219.5</f>
        <v>2219.5</v>
      </c>
      <c r="P224" s="32" t="s">
        <v>777</v>
      </c>
      <c r="Q224" s="31">
        <f>2232</f>
        <v>2232</v>
      </c>
      <c r="R224" s="32" t="s">
        <v>777</v>
      </c>
      <c r="S224" s="33">
        <f>2240.5</f>
        <v>2240.5</v>
      </c>
      <c r="T224" s="30">
        <f>1822070</f>
        <v>1822070</v>
      </c>
      <c r="U224" s="30">
        <f>1822000</f>
        <v>1822000</v>
      </c>
      <c r="V224" s="30">
        <f>4027668845</f>
        <v>4027668845</v>
      </c>
      <c r="W224" s="30">
        <f>4027512470</f>
        <v>4027512470</v>
      </c>
      <c r="X224" s="34">
        <f>2</f>
        <v>2</v>
      </c>
    </row>
    <row r="225" spans="1:24">
      <c r="A225" s="25" t="s">
        <v>1185</v>
      </c>
      <c r="B225" s="25" t="s">
        <v>1018</v>
      </c>
      <c r="C225" s="25" t="s">
        <v>1019</v>
      </c>
      <c r="D225" s="25" t="s">
        <v>1020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 t="str">
        <f>"－"</f>
        <v>－</v>
      </c>
      <c r="L225" s="32"/>
      <c r="M225" s="31" t="str">
        <f>"－"</f>
        <v>－</v>
      </c>
      <c r="N225" s="32"/>
      <c r="O225" s="31" t="str">
        <f>"－"</f>
        <v>－</v>
      </c>
      <c r="P225" s="32"/>
      <c r="Q225" s="31" t="str">
        <f>"－"</f>
        <v>－</v>
      </c>
      <c r="R225" s="32"/>
      <c r="S225" s="33" t="str">
        <f>"－"</f>
        <v>－</v>
      </c>
      <c r="T225" s="30">
        <f>451000</f>
        <v>451000</v>
      </c>
      <c r="U225" s="30">
        <f>451000</f>
        <v>451000</v>
      </c>
      <c r="V225" s="30">
        <f>1016865956</f>
        <v>1016865956</v>
      </c>
      <c r="W225" s="30">
        <f>1016865956</f>
        <v>1016865956</v>
      </c>
      <c r="X225" s="34" t="str">
        <f>"－"</f>
        <v>－</v>
      </c>
    </row>
    <row r="226" spans="1:24">
      <c r="A226" s="25" t="s">
        <v>1185</v>
      </c>
      <c r="B226" s="25" t="s">
        <v>1021</v>
      </c>
      <c r="C226" s="25" t="s">
        <v>1022</v>
      </c>
      <c r="D226" s="25" t="s">
        <v>1023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4958</f>
        <v>4958</v>
      </c>
      <c r="L226" s="32" t="s">
        <v>675</v>
      </c>
      <c r="M226" s="31">
        <f>4958</f>
        <v>4958</v>
      </c>
      <c r="N226" s="32" t="s">
        <v>675</v>
      </c>
      <c r="O226" s="31">
        <f>4958</f>
        <v>4958</v>
      </c>
      <c r="P226" s="32" t="s">
        <v>675</v>
      </c>
      <c r="Q226" s="31">
        <f>4958</f>
        <v>4958</v>
      </c>
      <c r="R226" s="32" t="s">
        <v>677</v>
      </c>
      <c r="S226" s="33">
        <f>4958</f>
        <v>4958</v>
      </c>
      <c r="T226" s="30">
        <f>20</f>
        <v>20</v>
      </c>
      <c r="U226" s="30" t="str">
        <f>"－"</f>
        <v>－</v>
      </c>
      <c r="V226" s="30">
        <f>99160</f>
        <v>99160</v>
      </c>
      <c r="W226" s="30" t="str">
        <f>"－"</f>
        <v>－</v>
      </c>
      <c r="X226" s="34">
        <f>2</f>
        <v>2</v>
      </c>
    </row>
    <row r="227" spans="1:24">
      <c r="A227" s="25" t="s">
        <v>1185</v>
      </c>
      <c r="B227" s="25" t="s">
        <v>1024</v>
      </c>
      <c r="C227" s="25" t="s">
        <v>1025</v>
      </c>
      <c r="D227" s="25" t="s">
        <v>1026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 t="str">
        <f>"－"</f>
        <v>－</v>
      </c>
      <c r="L227" s="32"/>
      <c r="M227" s="31" t="str">
        <f>"－"</f>
        <v>－</v>
      </c>
      <c r="N227" s="32"/>
      <c r="O227" s="31" t="str">
        <f>"－"</f>
        <v>－</v>
      </c>
      <c r="P227" s="32"/>
      <c r="Q227" s="31" t="str">
        <f>"－"</f>
        <v>－</v>
      </c>
      <c r="R227" s="32"/>
      <c r="S227" s="33" t="str">
        <f>"－"</f>
        <v>－</v>
      </c>
      <c r="T227" s="30" t="str">
        <f>"－"</f>
        <v>－</v>
      </c>
      <c r="U227" s="30" t="str">
        <f>"－"</f>
        <v>－</v>
      </c>
      <c r="V227" s="30" t="str">
        <f>"－"</f>
        <v>－</v>
      </c>
      <c r="W227" s="30" t="str">
        <f>"－"</f>
        <v>－</v>
      </c>
      <c r="X227" s="34" t="str">
        <f>"－"</f>
        <v>－</v>
      </c>
    </row>
    <row r="228" spans="1:24">
      <c r="A228" s="25" t="s">
        <v>1185</v>
      </c>
      <c r="B228" s="25" t="s">
        <v>1027</v>
      </c>
      <c r="C228" s="25" t="s">
        <v>1028</v>
      </c>
      <c r="D228" s="25" t="s">
        <v>1029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4931</f>
        <v>4931</v>
      </c>
      <c r="L228" s="32" t="s">
        <v>759</v>
      </c>
      <c r="M228" s="31">
        <f>4931</f>
        <v>4931</v>
      </c>
      <c r="N228" s="32" t="s">
        <v>759</v>
      </c>
      <c r="O228" s="31">
        <f>4931</f>
        <v>4931</v>
      </c>
      <c r="P228" s="32" t="s">
        <v>759</v>
      </c>
      <c r="Q228" s="31">
        <f>4931</f>
        <v>4931</v>
      </c>
      <c r="R228" s="32" t="s">
        <v>759</v>
      </c>
      <c r="S228" s="33">
        <f>4931</f>
        <v>4931</v>
      </c>
      <c r="T228" s="30">
        <f>20000</f>
        <v>20000</v>
      </c>
      <c r="U228" s="30" t="str">
        <f>"－"</f>
        <v>－</v>
      </c>
      <c r="V228" s="30">
        <f>98620000</f>
        <v>98620000</v>
      </c>
      <c r="W228" s="30" t="str">
        <f>"－"</f>
        <v>－</v>
      </c>
      <c r="X228" s="34">
        <f>1</f>
        <v>1</v>
      </c>
    </row>
    <row r="229" spans="1:24">
      <c r="A229" s="25" t="s">
        <v>1185</v>
      </c>
      <c r="B229" s="25" t="s">
        <v>1053</v>
      </c>
      <c r="C229" s="25" t="s">
        <v>1052</v>
      </c>
      <c r="D229" s="25" t="s">
        <v>1051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10</v>
      </c>
      <c r="K229" s="31">
        <f>5345</f>
        <v>5345</v>
      </c>
      <c r="L229" s="32" t="s">
        <v>1110</v>
      </c>
      <c r="M229" s="31">
        <f>5442</f>
        <v>5442</v>
      </c>
      <c r="N229" s="32" t="s">
        <v>684</v>
      </c>
      <c r="O229" s="31">
        <f>5095</f>
        <v>5095</v>
      </c>
      <c r="P229" s="32" t="s">
        <v>679</v>
      </c>
      <c r="Q229" s="31">
        <f>5127</f>
        <v>5127</v>
      </c>
      <c r="R229" s="32" t="s">
        <v>681</v>
      </c>
      <c r="S229" s="33">
        <f>5272.5</f>
        <v>5272.5</v>
      </c>
      <c r="T229" s="30">
        <f>3495420</f>
        <v>3495420</v>
      </c>
      <c r="U229" s="30">
        <f>3043010</f>
        <v>3043010</v>
      </c>
      <c r="V229" s="30">
        <f>18371929185</f>
        <v>18371929185</v>
      </c>
      <c r="W229" s="30">
        <f>15976079295</f>
        <v>15976079295</v>
      </c>
      <c r="X229" s="34">
        <f>22</f>
        <v>22</v>
      </c>
    </row>
    <row r="230" spans="1:24">
      <c r="A230" s="25" t="s">
        <v>1185</v>
      </c>
      <c r="B230" s="25" t="s">
        <v>1050</v>
      </c>
      <c r="C230" s="25" t="s">
        <v>1049</v>
      </c>
      <c r="D230" s="25" t="s">
        <v>1048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987</f>
        <v>987</v>
      </c>
      <c r="L230" s="32" t="s">
        <v>1110</v>
      </c>
      <c r="M230" s="31">
        <f>1001</f>
        <v>1001</v>
      </c>
      <c r="N230" s="32" t="s">
        <v>1145</v>
      </c>
      <c r="O230" s="31">
        <f>969</f>
        <v>969</v>
      </c>
      <c r="P230" s="32" t="s">
        <v>678</v>
      </c>
      <c r="Q230" s="31">
        <f>981</f>
        <v>981</v>
      </c>
      <c r="R230" s="32" t="s">
        <v>681</v>
      </c>
      <c r="S230" s="33">
        <f>988.73</f>
        <v>988.73</v>
      </c>
      <c r="T230" s="30">
        <f>20435</f>
        <v>20435</v>
      </c>
      <c r="U230" s="30" t="str">
        <f>"－"</f>
        <v>－</v>
      </c>
      <c r="V230" s="30">
        <f>20187413</f>
        <v>20187413</v>
      </c>
      <c r="W230" s="30" t="str">
        <f>"－"</f>
        <v>－</v>
      </c>
      <c r="X230" s="34">
        <f>22</f>
        <v>22</v>
      </c>
    </row>
    <row r="231" spans="1:24">
      <c r="A231" s="25" t="s">
        <v>1185</v>
      </c>
      <c r="B231" s="25" t="s">
        <v>1047</v>
      </c>
      <c r="C231" s="25" t="s">
        <v>1046</v>
      </c>
      <c r="D231" s="25" t="s">
        <v>1045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1123</f>
        <v>1123</v>
      </c>
      <c r="L231" s="32" t="s">
        <v>1110</v>
      </c>
      <c r="M231" s="31">
        <f>1147</f>
        <v>1147</v>
      </c>
      <c r="N231" s="32" t="s">
        <v>678</v>
      </c>
      <c r="O231" s="31">
        <f>1071</f>
        <v>1071</v>
      </c>
      <c r="P231" s="32" t="s">
        <v>675</v>
      </c>
      <c r="Q231" s="31">
        <f>1135</f>
        <v>1135</v>
      </c>
      <c r="R231" s="32" t="s">
        <v>681</v>
      </c>
      <c r="S231" s="33">
        <f>1105.68</f>
        <v>1105.68</v>
      </c>
      <c r="T231" s="30">
        <f>120456</f>
        <v>120456</v>
      </c>
      <c r="U231" s="30" t="str">
        <f>"－"</f>
        <v>－</v>
      </c>
      <c r="V231" s="30">
        <f>135437426</f>
        <v>135437426</v>
      </c>
      <c r="W231" s="30" t="str">
        <f>"－"</f>
        <v>－</v>
      </c>
      <c r="X231" s="34">
        <f>22</f>
        <v>22</v>
      </c>
    </row>
    <row r="232" spans="1:24">
      <c r="A232" s="25" t="s">
        <v>1185</v>
      </c>
      <c r="B232" s="25" t="s">
        <v>1044</v>
      </c>
      <c r="C232" s="25" t="s">
        <v>1043</v>
      </c>
      <c r="D232" s="25" t="s">
        <v>1042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927</f>
        <v>927</v>
      </c>
      <c r="L232" s="32" t="s">
        <v>1110</v>
      </c>
      <c r="M232" s="31">
        <f>949</f>
        <v>949</v>
      </c>
      <c r="N232" s="32" t="s">
        <v>678</v>
      </c>
      <c r="O232" s="31">
        <f>914</f>
        <v>914</v>
      </c>
      <c r="P232" s="32" t="s">
        <v>1110</v>
      </c>
      <c r="Q232" s="31">
        <f>932</f>
        <v>932</v>
      </c>
      <c r="R232" s="32" t="s">
        <v>681</v>
      </c>
      <c r="S232" s="33">
        <f>927.95</f>
        <v>927.95</v>
      </c>
      <c r="T232" s="30">
        <f>20959</f>
        <v>20959</v>
      </c>
      <c r="U232" s="30" t="str">
        <f>"－"</f>
        <v>－</v>
      </c>
      <c r="V232" s="30">
        <f>19378528</f>
        <v>19378528</v>
      </c>
      <c r="W232" s="30" t="str">
        <f>"－"</f>
        <v>－</v>
      </c>
      <c r="X232" s="34">
        <f>22</f>
        <v>22</v>
      </c>
    </row>
    <row r="233" spans="1:24">
      <c r="A233" s="25" t="s">
        <v>1185</v>
      </c>
      <c r="B233" s="25" t="s">
        <v>1041</v>
      </c>
      <c r="C233" s="25" t="s">
        <v>1040</v>
      </c>
      <c r="D233" s="25" t="s">
        <v>1039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996</f>
        <v>996</v>
      </c>
      <c r="L233" s="32" t="s">
        <v>1110</v>
      </c>
      <c r="M233" s="31">
        <f>996</f>
        <v>996</v>
      </c>
      <c r="N233" s="32" t="s">
        <v>1110</v>
      </c>
      <c r="O233" s="31">
        <f>942</f>
        <v>942</v>
      </c>
      <c r="P233" s="32" t="s">
        <v>778</v>
      </c>
      <c r="Q233" s="31">
        <f>983</f>
        <v>983</v>
      </c>
      <c r="R233" s="32" t="s">
        <v>681</v>
      </c>
      <c r="S233" s="33">
        <f>979</f>
        <v>979</v>
      </c>
      <c r="T233" s="30">
        <f>109291</f>
        <v>109291</v>
      </c>
      <c r="U233" s="30" t="str">
        <f>"－"</f>
        <v>－</v>
      </c>
      <c r="V233" s="30">
        <f>106737823</f>
        <v>106737823</v>
      </c>
      <c r="W233" s="30" t="str">
        <f>"－"</f>
        <v>－</v>
      </c>
      <c r="X233" s="34">
        <f>22</f>
        <v>22</v>
      </c>
    </row>
    <row r="234" spans="1:24">
      <c r="A234" s="25" t="s">
        <v>1185</v>
      </c>
      <c r="B234" s="25" t="s">
        <v>1038</v>
      </c>
      <c r="C234" s="25" t="s">
        <v>1037</v>
      </c>
      <c r="D234" s="25" t="s">
        <v>1036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1010</f>
        <v>1010</v>
      </c>
      <c r="L234" s="32" t="s">
        <v>1110</v>
      </c>
      <c r="M234" s="31">
        <f>1027</f>
        <v>1027</v>
      </c>
      <c r="N234" s="32" t="s">
        <v>678</v>
      </c>
      <c r="O234" s="31">
        <f>985</f>
        <v>985</v>
      </c>
      <c r="P234" s="32" t="s">
        <v>883</v>
      </c>
      <c r="Q234" s="31">
        <f>1016</f>
        <v>1016</v>
      </c>
      <c r="R234" s="32" t="s">
        <v>681</v>
      </c>
      <c r="S234" s="33">
        <f>1005.41</f>
        <v>1005.41</v>
      </c>
      <c r="T234" s="30">
        <f>159648</f>
        <v>159648</v>
      </c>
      <c r="U234" s="30">
        <f>2</f>
        <v>2</v>
      </c>
      <c r="V234" s="30">
        <f>159953201</f>
        <v>159953201</v>
      </c>
      <c r="W234" s="30">
        <f>2009</f>
        <v>2009</v>
      </c>
      <c r="X234" s="34">
        <f>22</f>
        <v>22</v>
      </c>
    </row>
    <row r="235" spans="1:24">
      <c r="A235" s="25" t="s">
        <v>1185</v>
      </c>
      <c r="B235" s="25" t="s">
        <v>1181</v>
      </c>
      <c r="C235" s="25" t="s">
        <v>1182</v>
      </c>
      <c r="D235" s="25" t="s">
        <v>1183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1515</f>
        <v>1515</v>
      </c>
      <c r="L235" s="32" t="s">
        <v>1110</v>
      </c>
      <c r="M235" s="31">
        <f>1532</f>
        <v>1532</v>
      </c>
      <c r="N235" s="32" t="s">
        <v>678</v>
      </c>
      <c r="O235" s="31">
        <f>1488</f>
        <v>1488</v>
      </c>
      <c r="P235" s="32" t="s">
        <v>876</v>
      </c>
      <c r="Q235" s="31">
        <f>1512</f>
        <v>1512</v>
      </c>
      <c r="R235" s="32" t="s">
        <v>681</v>
      </c>
      <c r="S235" s="33">
        <f>1506.82</f>
        <v>1506.82</v>
      </c>
      <c r="T235" s="30">
        <f>309278</f>
        <v>309278</v>
      </c>
      <c r="U235" s="30">
        <f>93510</f>
        <v>93510</v>
      </c>
      <c r="V235" s="30">
        <f>464810974</f>
        <v>464810974</v>
      </c>
      <c r="W235" s="30">
        <f>140524998</f>
        <v>140524998</v>
      </c>
      <c r="X235" s="34">
        <f>22</f>
        <v>22</v>
      </c>
    </row>
    <row r="236" spans="1:24">
      <c r="A236" s="25" t="s">
        <v>1185</v>
      </c>
      <c r="B236" s="25" t="s">
        <v>1200</v>
      </c>
      <c r="C236" s="25" t="s">
        <v>1199</v>
      </c>
      <c r="D236" s="25" t="s">
        <v>1198</v>
      </c>
      <c r="E236" s="26" t="s">
        <v>672</v>
      </c>
      <c r="F236" s="27" t="s">
        <v>673</v>
      </c>
      <c r="G236" s="28" t="s">
        <v>1197</v>
      </c>
      <c r="H236" s="29"/>
      <c r="I236" s="29" t="s">
        <v>44</v>
      </c>
      <c r="J236" s="30">
        <v>10</v>
      </c>
      <c r="K236" s="31">
        <f>200</f>
        <v>200</v>
      </c>
      <c r="L236" s="32" t="s">
        <v>677</v>
      </c>
      <c r="M236" s="31">
        <f>201</f>
        <v>201</v>
      </c>
      <c r="N236" s="32" t="s">
        <v>677</v>
      </c>
      <c r="O236" s="31">
        <f>154.7</f>
        <v>154.69999999999999</v>
      </c>
      <c r="P236" s="32" t="s">
        <v>676</v>
      </c>
      <c r="Q236" s="31">
        <f>168.8</f>
        <v>168.8</v>
      </c>
      <c r="R236" s="32" t="s">
        <v>681</v>
      </c>
      <c r="S236" s="33">
        <f>173.71</f>
        <v>173.71</v>
      </c>
      <c r="T236" s="30">
        <f>25664610</f>
        <v>25664610</v>
      </c>
      <c r="U236" s="30">
        <f>9101430</f>
        <v>9101430</v>
      </c>
      <c r="V236" s="30">
        <f>4587867545</f>
        <v>4587867545</v>
      </c>
      <c r="W236" s="30">
        <f>1607876758</f>
        <v>1607876758</v>
      </c>
      <c r="X236" s="34">
        <f>13</f>
        <v>13</v>
      </c>
    </row>
    <row r="237" spans="1:24">
      <c r="A237" s="25" t="s">
        <v>1185</v>
      </c>
      <c r="B237" s="25" t="s">
        <v>1196</v>
      </c>
      <c r="C237" s="25" t="s">
        <v>1195</v>
      </c>
      <c r="D237" s="25" t="s">
        <v>1194</v>
      </c>
      <c r="E237" s="26" t="s">
        <v>672</v>
      </c>
      <c r="F237" s="27" t="s">
        <v>673</v>
      </c>
      <c r="G237" s="28" t="s">
        <v>1193</v>
      </c>
      <c r="H237" s="29"/>
      <c r="I237" s="29" t="s">
        <v>44</v>
      </c>
      <c r="J237" s="30">
        <v>10</v>
      </c>
      <c r="K237" s="31">
        <f>503</f>
        <v>503</v>
      </c>
      <c r="L237" s="32" t="s">
        <v>680</v>
      </c>
      <c r="M237" s="31">
        <f>518</f>
        <v>518</v>
      </c>
      <c r="N237" s="32" t="s">
        <v>874</v>
      </c>
      <c r="O237" s="31">
        <f>441</f>
        <v>441</v>
      </c>
      <c r="P237" s="32" t="s">
        <v>676</v>
      </c>
      <c r="Q237" s="31">
        <f>477</f>
        <v>477</v>
      </c>
      <c r="R237" s="32" t="s">
        <v>681</v>
      </c>
      <c r="S237" s="33">
        <f>475.47</f>
        <v>475.47</v>
      </c>
      <c r="T237" s="30">
        <f>1823510</f>
        <v>1823510</v>
      </c>
      <c r="U237" s="30">
        <f>199800</f>
        <v>199800</v>
      </c>
      <c r="V237" s="30">
        <f>886133756</f>
        <v>886133756</v>
      </c>
      <c r="W237" s="30">
        <f>99999900</f>
        <v>99999900</v>
      </c>
      <c r="X237" s="34">
        <f>9</f>
        <v>9</v>
      </c>
    </row>
    <row r="238" spans="1:24">
      <c r="A238" s="25" t="s">
        <v>1185</v>
      </c>
      <c r="B238" s="25" t="s">
        <v>868</v>
      </c>
      <c r="C238" s="25" t="s">
        <v>869</v>
      </c>
      <c r="D238" s="25" t="s">
        <v>870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2773</f>
        <v>2773</v>
      </c>
      <c r="L238" s="32" t="s">
        <v>1110</v>
      </c>
      <c r="M238" s="31">
        <f>2849.5</f>
        <v>2849.5</v>
      </c>
      <c r="N238" s="32" t="s">
        <v>678</v>
      </c>
      <c r="O238" s="31">
        <f>2645</f>
        <v>2645</v>
      </c>
      <c r="P238" s="32" t="s">
        <v>679</v>
      </c>
      <c r="Q238" s="31">
        <f>2711.5</f>
        <v>2711.5</v>
      </c>
      <c r="R238" s="32" t="s">
        <v>681</v>
      </c>
      <c r="S238" s="33">
        <f>2755.7</f>
        <v>2755.7</v>
      </c>
      <c r="T238" s="30">
        <f>144910</f>
        <v>144910</v>
      </c>
      <c r="U238" s="30" t="str">
        <f>"－"</f>
        <v>－</v>
      </c>
      <c r="V238" s="30">
        <f>401604065</f>
        <v>401604065</v>
      </c>
      <c r="W238" s="30" t="str">
        <f>"－"</f>
        <v>－</v>
      </c>
      <c r="X238" s="34">
        <f>22</f>
        <v>22</v>
      </c>
    </row>
    <row r="239" spans="1:24">
      <c r="A239" s="25" t="s">
        <v>1185</v>
      </c>
      <c r="B239" s="25" t="s">
        <v>871</v>
      </c>
      <c r="C239" s="25" t="s">
        <v>872</v>
      </c>
      <c r="D239" s="25" t="s">
        <v>873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1270</f>
        <v>1270</v>
      </c>
      <c r="L239" s="32" t="s">
        <v>1110</v>
      </c>
      <c r="M239" s="31">
        <f>1300</f>
        <v>1300</v>
      </c>
      <c r="N239" s="32" t="s">
        <v>680</v>
      </c>
      <c r="O239" s="31">
        <f>1226</f>
        <v>1226</v>
      </c>
      <c r="P239" s="32" t="s">
        <v>679</v>
      </c>
      <c r="Q239" s="31">
        <f>1257</f>
        <v>1257</v>
      </c>
      <c r="R239" s="32" t="s">
        <v>681</v>
      </c>
      <c r="S239" s="33">
        <f>1262.77</f>
        <v>1262.77</v>
      </c>
      <c r="T239" s="30">
        <f>1559223</f>
        <v>1559223</v>
      </c>
      <c r="U239" s="30">
        <f>887120</f>
        <v>887120</v>
      </c>
      <c r="V239" s="30">
        <f>1968423506</f>
        <v>1968423506</v>
      </c>
      <c r="W239" s="30">
        <f>1117841600</f>
        <v>1117841600</v>
      </c>
      <c r="X239" s="34">
        <f>22</f>
        <v>22</v>
      </c>
    </row>
    <row r="240" spans="1:24">
      <c r="A240" s="25" t="s">
        <v>1185</v>
      </c>
      <c r="B240" s="25" t="s">
        <v>877</v>
      </c>
      <c r="C240" s="25" t="s">
        <v>878</v>
      </c>
      <c r="D240" s="25" t="s">
        <v>879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80150</f>
        <v>80150</v>
      </c>
      <c r="L240" s="32" t="s">
        <v>1110</v>
      </c>
      <c r="M240" s="31">
        <f>84210</f>
        <v>84210</v>
      </c>
      <c r="N240" s="32" t="s">
        <v>682</v>
      </c>
      <c r="O240" s="31">
        <f>76560</f>
        <v>76560</v>
      </c>
      <c r="P240" s="32" t="s">
        <v>676</v>
      </c>
      <c r="Q240" s="31">
        <f>78320</f>
        <v>78320</v>
      </c>
      <c r="R240" s="32" t="s">
        <v>681</v>
      </c>
      <c r="S240" s="33">
        <f>80484.09</f>
        <v>80484.09</v>
      </c>
      <c r="T240" s="30">
        <f>32145</f>
        <v>32145</v>
      </c>
      <c r="U240" s="30">
        <f>2</f>
        <v>2</v>
      </c>
      <c r="V240" s="30">
        <f>2590946650</f>
        <v>2590946650</v>
      </c>
      <c r="W240" s="30">
        <f>160280</f>
        <v>160280</v>
      </c>
      <c r="X240" s="34">
        <f>22</f>
        <v>22</v>
      </c>
    </row>
    <row r="241" spans="1:24">
      <c r="A241" s="25" t="s">
        <v>1185</v>
      </c>
      <c r="B241" s="25" t="s">
        <v>880</v>
      </c>
      <c r="C241" s="25" t="s">
        <v>881</v>
      </c>
      <c r="D241" s="25" t="s">
        <v>882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7304</f>
        <v>7304</v>
      </c>
      <c r="L241" s="32" t="s">
        <v>1110</v>
      </c>
      <c r="M241" s="31">
        <f>7463</f>
        <v>7463</v>
      </c>
      <c r="N241" s="32" t="s">
        <v>680</v>
      </c>
      <c r="O241" s="31">
        <f>7066</f>
        <v>7066</v>
      </c>
      <c r="P241" s="32" t="s">
        <v>682</v>
      </c>
      <c r="Q241" s="31">
        <f>7305</f>
        <v>7305</v>
      </c>
      <c r="R241" s="32" t="s">
        <v>681</v>
      </c>
      <c r="S241" s="33">
        <f>7238.91</f>
        <v>7238.91</v>
      </c>
      <c r="T241" s="30">
        <f>72842</f>
        <v>72842</v>
      </c>
      <c r="U241" s="30">
        <f>34902</f>
        <v>34902</v>
      </c>
      <c r="V241" s="30">
        <f>524472421</f>
        <v>524472421</v>
      </c>
      <c r="W241" s="30">
        <f>247999533</f>
        <v>247999533</v>
      </c>
      <c r="X241" s="34">
        <f>22</f>
        <v>22</v>
      </c>
    </row>
    <row r="242" spans="1:24">
      <c r="A242" s="25" t="s">
        <v>1185</v>
      </c>
      <c r="B242" s="25" t="s">
        <v>884</v>
      </c>
      <c r="C242" s="25" t="s">
        <v>885</v>
      </c>
      <c r="D242" s="25" t="s">
        <v>886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10</v>
      </c>
      <c r="K242" s="31">
        <f>17500</f>
        <v>17500</v>
      </c>
      <c r="L242" s="32" t="s">
        <v>1110</v>
      </c>
      <c r="M242" s="31">
        <f>18155</f>
        <v>18155</v>
      </c>
      <c r="N242" s="32" t="s">
        <v>682</v>
      </c>
      <c r="O242" s="31">
        <f>16525</f>
        <v>16525</v>
      </c>
      <c r="P242" s="32" t="s">
        <v>676</v>
      </c>
      <c r="Q242" s="31">
        <f>16905</f>
        <v>16905</v>
      </c>
      <c r="R242" s="32" t="s">
        <v>681</v>
      </c>
      <c r="S242" s="33">
        <f>17383.64</f>
        <v>17383.64</v>
      </c>
      <c r="T242" s="30">
        <f>48450</f>
        <v>48450</v>
      </c>
      <c r="U242" s="30">
        <f>10</f>
        <v>10</v>
      </c>
      <c r="V242" s="30">
        <f>847027900</f>
        <v>847027900</v>
      </c>
      <c r="W242" s="30">
        <f>176850</f>
        <v>176850</v>
      </c>
      <c r="X242" s="34">
        <f>22</f>
        <v>22</v>
      </c>
    </row>
    <row r="243" spans="1:24">
      <c r="A243" s="25" t="s">
        <v>1185</v>
      </c>
      <c r="B243" s="25" t="s">
        <v>1192</v>
      </c>
      <c r="C243" s="25" t="s">
        <v>1191</v>
      </c>
      <c r="D243" s="25" t="s">
        <v>1190</v>
      </c>
      <c r="E243" s="26" t="s">
        <v>672</v>
      </c>
      <c r="F243" s="27" t="s">
        <v>673</v>
      </c>
      <c r="G243" s="28" t="s">
        <v>1186</v>
      </c>
      <c r="H243" s="29"/>
      <c r="I243" s="29" t="s">
        <v>44</v>
      </c>
      <c r="J243" s="30">
        <v>1</v>
      </c>
      <c r="K243" s="31">
        <f>963</f>
        <v>963</v>
      </c>
      <c r="L243" s="32" t="s">
        <v>679</v>
      </c>
      <c r="M243" s="31">
        <f>969</f>
        <v>969</v>
      </c>
      <c r="N243" s="32" t="s">
        <v>883</v>
      </c>
      <c r="O243" s="31">
        <f>939</f>
        <v>939</v>
      </c>
      <c r="P243" s="32" t="s">
        <v>681</v>
      </c>
      <c r="Q243" s="31">
        <f>950</f>
        <v>950</v>
      </c>
      <c r="R243" s="32" t="s">
        <v>681</v>
      </c>
      <c r="S243" s="33">
        <f>954.6</f>
        <v>954.6</v>
      </c>
      <c r="T243" s="30">
        <f>114197</f>
        <v>114197</v>
      </c>
      <c r="U243" s="30" t="str">
        <f>"－"</f>
        <v>－</v>
      </c>
      <c r="V243" s="30">
        <f>109008712</f>
        <v>109008712</v>
      </c>
      <c r="W243" s="30" t="str">
        <f>"－"</f>
        <v>－</v>
      </c>
      <c r="X243" s="34">
        <f>5</f>
        <v>5</v>
      </c>
    </row>
    <row r="244" spans="1:24">
      <c r="A244" s="25" t="s">
        <v>1185</v>
      </c>
      <c r="B244" s="25" t="s">
        <v>887</v>
      </c>
      <c r="C244" s="25" t="s">
        <v>888</v>
      </c>
      <c r="D244" s="25" t="s">
        <v>889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7200</f>
        <v>7200</v>
      </c>
      <c r="L244" s="32" t="s">
        <v>1110</v>
      </c>
      <c r="M244" s="31">
        <f>7543</f>
        <v>7543</v>
      </c>
      <c r="N244" s="32" t="s">
        <v>681</v>
      </c>
      <c r="O244" s="31">
        <f>7110</f>
        <v>7110</v>
      </c>
      <c r="P244" s="32" t="s">
        <v>682</v>
      </c>
      <c r="Q244" s="31">
        <f>7358</f>
        <v>7358</v>
      </c>
      <c r="R244" s="32" t="s">
        <v>681</v>
      </c>
      <c r="S244" s="33">
        <f>7270.5</f>
        <v>7270.5</v>
      </c>
      <c r="T244" s="30">
        <f>17400</f>
        <v>17400</v>
      </c>
      <c r="U244" s="30">
        <f>11300</f>
        <v>11300</v>
      </c>
      <c r="V244" s="30">
        <f>127528960</f>
        <v>127528960</v>
      </c>
      <c r="W244" s="30">
        <f>82930600</f>
        <v>82930600</v>
      </c>
      <c r="X244" s="34">
        <f>22</f>
        <v>22</v>
      </c>
    </row>
    <row r="245" spans="1:24">
      <c r="A245" s="25" t="s">
        <v>1185</v>
      </c>
      <c r="B245" s="25" t="s">
        <v>890</v>
      </c>
      <c r="C245" s="25" t="s">
        <v>891</v>
      </c>
      <c r="D245" s="25" t="s">
        <v>892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709.8</f>
        <v>709.8</v>
      </c>
      <c r="L245" s="32" t="s">
        <v>1110</v>
      </c>
      <c r="M245" s="31">
        <f>727.2</f>
        <v>727.2</v>
      </c>
      <c r="N245" s="32" t="s">
        <v>682</v>
      </c>
      <c r="O245" s="31">
        <f>663.8</f>
        <v>663.8</v>
      </c>
      <c r="P245" s="32" t="s">
        <v>679</v>
      </c>
      <c r="Q245" s="31">
        <f>694.3</f>
        <v>694.3</v>
      </c>
      <c r="R245" s="32" t="s">
        <v>681</v>
      </c>
      <c r="S245" s="33">
        <f>705.1</f>
        <v>705.1</v>
      </c>
      <c r="T245" s="30">
        <f>802280</f>
        <v>802280</v>
      </c>
      <c r="U245" s="30" t="str">
        <f>"－"</f>
        <v>－</v>
      </c>
      <c r="V245" s="30">
        <f>565111459</f>
        <v>565111459</v>
      </c>
      <c r="W245" s="30" t="str">
        <f>"－"</f>
        <v>－</v>
      </c>
      <c r="X245" s="34">
        <f>22</f>
        <v>22</v>
      </c>
    </row>
    <row r="246" spans="1:24">
      <c r="A246" s="25" t="s">
        <v>1185</v>
      </c>
      <c r="B246" s="25" t="s">
        <v>893</v>
      </c>
      <c r="C246" s="25" t="s">
        <v>894</v>
      </c>
      <c r="D246" s="25" t="s">
        <v>895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10</v>
      </c>
      <c r="K246" s="31">
        <f>550.8</f>
        <v>550.79999999999995</v>
      </c>
      <c r="L246" s="32" t="s">
        <v>1110</v>
      </c>
      <c r="M246" s="31">
        <f>579.2</f>
        <v>579.20000000000005</v>
      </c>
      <c r="N246" s="32" t="s">
        <v>678</v>
      </c>
      <c r="O246" s="31">
        <f>550.1</f>
        <v>550.1</v>
      </c>
      <c r="P246" s="32" t="s">
        <v>1116</v>
      </c>
      <c r="Q246" s="31">
        <f>570.3</f>
        <v>570.29999999999995</v>
      </c>
      <c r="R246" s="32" t="s">
        <v>681</v>
      </c>
      <c r="S246" s="33">
        <f>561.35</f>
        <v>561.35</v>
      </c>
      <c r="T246" s="30">
        <f>515040</f>
        <v>515040</v>
      </c>
      <c r="U246" s="30">
        <f>40</f>
        <v>40</v>
      </c>
      <c r="V246" s="30">
        <f>293674493</f>
        <v>293674493</v>
      </c>
      <c r="W246" s="30">
        <f>22872</f>
        <v>22872</v>
      </c>
      <c r="X246" s="34">
        <f>22</f>
        <v>22</v>
      </c>
    </row>
    <row r="247" spans="1:24">
      <c r="A247" s="25" t="s">
        <v>1185</v>
      </c>
      <c r="B247" s="25" t="s">
        <v>934</v>
      </c>
      <c r="C247" s="25" t="s">
        <v>935</v>
      </c>
      <c r="D247" s="25" t="s">
        <v>936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2106</f>
        <v>2106</v>
      </c>
      <c r="L247" s="32" t="s">
        <v>1110</v>
      </c>
      <c r="M247" s="31">
        <f>2277</f>
        <v>2277</v>
      </c>
      <c r="N247" s="32" t="s">
        <v>684</v>
      </c>
      <c r="O247" s="31">
        <f>1807</f>
        <v>1807</v>
      </c>
      <c r="P247" s="32" t="s">
        <v>681</v>
      </c>
      <c r="Q247" s="31">
        <f>1864</f>
        <v>1864</v>
      </c>
      <c r="R247" s="32" t="s">
        <v>681</v>
      </c>
      <c r="S247" s="33">
        <f>2075.14</f>
        <v>2075.14</v>
      </c>
      <c r="T247" s="30">
        <f>17857670</f>
        <v>17857670</v>
      </c>
      <c r="U247" s="30">
        <f>1373402</f>
        <v>1373402</v>
      </c>
      <c r="V247" s="30">
        <f>36761534474</f>
        <v>36761534474</v>
      </c>
      <c r="W247" s="30">
        <f>2943764128</f>
        <v>2943764128</v>
      </c>
      <c r="X247" s="34">
        <f>22</f>
        <v>22</v>
      </c>
    </row>
    <row r="248" spans="1:24">
      <c r="A248" s="25" t="s">
        <v>1185</v>
      </c>
      <c r="B248" s="25" t="s">
        <v>937</v>
      </c>
      <c r="C248" s="25" t="s">
        <v>938</v>
      </c>
      <c r="D248" s="25" t="s">
        <v>939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</v>
      </c>
      <c r="K248" s="31">
        <f>2263</f>
        <v>2263</v>
      </c>
      <c r="L248" s="32" t="s">
        <v>1110</v>
      </c>
      <c r="M248" s="31">
        <f>2439</f>
        <v>2439</v>
      </c>
      <c r="N248" s="32" t="s">
        <v>684</v>
      </c>
      <c r="O248" s="31">
        <f>2038</f>
        <v>2038</v>
      </c>
      <c r="P248" s="32" t="s">
        <v>681</v>
      </c>
      <c r="Q248" s="31">
        <f>2069</f>
        <v>2069</v>
      </c>
      <c r="R248" s="32" t="s">
        <v>681</v>
      </c>
      <c r="S248" s="33">
        <f>2259.5</f>
        <v>2259.5</v>
      </c>
      <c r="T248" s="30">
        <f>19225924</f>
        <v>19225924</v>
      </c>
      <c r="U248" s="30">
        <f>176209</f>
        <v>176209</v>
      </c>
      <c r="V248" s="30">
        <f>43744602907</f>
        <v>43744602907</v>
      </c>
      <c r="W248" s="30">
        <f>406732556</f>
        <v>406732556</v>
      </c>
      <c r="X248" s="34">
        <f>22</f>
        <v>22</v>
      </c>
    </row>
    <row r="249" spans="1:24">
      <c r="A249" s="25" t="s">
        <v>1185</v>
      </c>
      <c r="B249" s="25" t="s">
        <v>940</v>
      </c>
      <c r="C249" s="25" t="s">
        <v>941</v>
      </c>
      <c r="D249" s="25" t="s">
        <v>942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765.2</f>
        <v>765.2</v>
      </c>
      <c r="L249" s="32" t="s">
        <v>1110</v>
      </c>
      <c r="M249" s="31">
        <f>780.9</f>
        <v>780.9</v>
      </c>
      <c r="N249" s="32" t="s">
        <v>1110</v>
      </c>
      <c r="O249" s="31">
        <f>759.3</f>
        <v>759.3</v>
      </c>
      <c r="P249" s="32" t="s">
        <v>883</v>
      </c>
      <c r="Q249" s="31">
        <f>776</f>
        <v>776</v>
      </c>
      <c r="R249" s="32" t="s">
        <v>681</v>
      </c>
      <c r="S249" s="33">
        <f>769.5</f>
        <v>769.5</v>
      </c>
      <c r="T249" s="30">
        <f>13821810</f>
        <v>13821810</v>
      </c>
      <c r="U249" s="30">
        <f>12900020</f>
        <v>12900020</v>
      </c>
      <c r="V249" s="30">
        <f>10582463777</f>
        <v>10582463777</v>
      </c>
      <c r="W249" s="30">
        <f>9872643418</f>
        <v>9872643418</v>
      </c>
      <c r="X249" s="34">
        <f>18</f>
        <v>18</v>
      </c>
    </row>
    <row r="250" spans="1:24">
      <c r="A250" s="25" t="s">
        <v>1185</v>
      </c>
      <c r="B250" s="25" t="s">
        <v>943</v>
      </c>
      <c r="C250" s="25" t="s">
        <v>944</v>
      </c>
      <c r="D250" s="25" t="s">
        <v>945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10</v>
      </c>
      <c r="K250" s="31">
        <f>757.9</f>
        <v>757.9</v>
      </c>
      <c r="L250" s="32" t="s">
        <v>1110</v>
      </c>
      <c r="M250" s="31">
        <f>772</f>
        <v>772</v>
      </c>
      <c r="N250" s="32" t="s">
        <v>677</v>
      </c>
      <c r="O250" s="31">
        <f>754.5</f>
        <v>754.5</v>
      </c>
      <c r="P250" s="32" t="s">
        <v>1116</v>
      </c>
      <c r="Q250" s="31">
        <f>771.2</f>
        <v>771.2</v>
      </c>
      <c r="R250" s="32" t="s">
        <v>681</v>
      </c>
      <c r="S250" s="33">
        <f>762.83</f>
        <v>762.83</v>
      </c>
      <c r="T250" s="30">
        <f>410200</f>
        <v>410200</v>
      </c>
      <c r="U250" s="30" t="str">
        <f>"－"</f>
        <v>－</v>
      </c>
      <c r="V250" s="30">
        <f>312678418</f>
        <v>312678418</v>
      </c>
      <c r="W250" s="30" t="str">
        <f>"－"</f>
        <v>－</v>
      </c>
      <c r="X250" s="34">
        <f>13</f>
        <v>13</v>
      </c>
    </row>
    <row r="251" spans="1:24">
      <c r="A251" s="25" t="s">
        <v>1185</v>
      </c>
      <c r="B251" s="25" t="s">
        <v>952</v>
      </c>
      <c r="C251" s="25" t="s">
        <v>953</v>
      </c>
      <c r="D251" s="25" t="s">
        <v>954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16810</f>
        <v>16810</v>
      </c>
      <c r="L251" s="32" t="s">
        <v>1110</v>
      </c>
      <c r="M251" s="31">
        <f>17495</f>
        <v>17495</v>
      </c>
      <c r="N251" s="32" t="s">
        <v>684</v>
      </c>
      <c r="O251" s="31">
        <f>15565</f>
        <v>15565</v>
      </c>
      <c r="P251" s="32" t="s">
        <v>681</v>
      </c>
      <c r="Q251" s="31">
        <f>15745</f>
        <v>15745</v>
      </c>
      <c r="R251" s="32" t="s">
        <v>681</v>
      </c>
      <c r="S251" s="33">
        <f>16448.18</f>
        <v>16448.18</v>
      </c>
      <c r="T251" s="30">
        <f>406345</f>
        <v>406345</v>
      </c>
      <c r="U251" s="30">
        <f>151447</f>
        <v>151447</v>
      </c>
      <c r="V251" s="30">
        <f>6655072256</f>
        <v>6655072256</v>
      </c>
      <c r="W251" s="30">
        <f>2498768206</f>
        <v>2498768206</v>
      </c>
      <c r="X251" s="34">
        <f>22</f>
        <v>22</v>
      </c>
    </row>
    <row r="252" spans="1:24">
      <c r="A252" s="25" t="s">
        <v>1185</v>
      </c>
      <c r="B252" s="25" t="s">
        <v>955</v>
      </c>
      <c r="C252" s="25" t="s">
        <v>956</v>
      </c>
      <c r="D252" s="25" t="s">
        <v>957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43070</f>
        <v>43070</v>
      </c>
      <c r="L252" s="32" t="s">
        <v>1110</v>
      </c>
      <c r="M252" s="31">
        <f>45000</f>
        <v>45000</v>
      </c>
      <c r="N252" s="32" t="s">
        <v>684</v>
      </c>
      <c r="O252" s="31">
        <f>42520</f>
        <v>42520</v>
      </c>
      <c r="P252" s="32" t="s">
        <v>676</v>
      </c>
      <c r="Q252" s="31">
        <f>42860</f>
        <v>42860</v>
      </c>
      <c r="R252" s="32" t="s">
        <v>681</v>
      </c>
      <c r="S252" s="33">
        <f>43503.18</f>
        <v>43503.18</v>
      </c>
      <c r="T252" s="30">
        <f>34552</f>
        <v>34552</v>
      </c>
      <c r="U252" s="30">
        <f>6</f>
        <v>6</v>
      </c>
      <c r="V252" s="30">
        <f>1514564240</f>
        <v>1514564240</v>
      </c>
      <c r="W252" s="30">
        <f>263410</f>
        <v>263410</v>
      </c>
      <c r="X252" s="34">
        <f>22</f>
        <v>22</v>
      </c>
    </row>
    <row r="253" spans="1:24">
      <c r="A253" s="25" t="s">
        <v>1185</v>
      </c>
      <c r="B253" s="25" t="s">
        <v>958</v>
      </c>
      <c r="C253" s="25" t="s">
        <v>959</v>
      </c>
      <c r="D253" s="25" t="s">
        <v>960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</v>
      </c>
      <c r="K253" s="31">
        <f>19590</f>
        <v>19590</v>
      </c>
      <c r="L253" s="32" t="s">
        <v>1110</v>
      </c>
      <c r="M253" s="31">
        <f>20500</f>
        <v>20500</v>
      </c>
      <c r="N253" s="32" t="s">
        <v>681</v>
      </c>
      <c r="O253" s="31">
        <f>18250</f>
        <v>18250</v>
      </c>
      <c r="P253" s="32" t="s">
        <v>684</v>
      </c>
      <c r="Q253" s="31">
        <f>19595</f>
        <v>19595</v>
      </c>
      <c r="R253" s="32" t="s">
        <v>681</v>
      </c>
      <c r="S253" s="33">
        <f>19126.14</f>
        <v>19126.14</v>
      </c>
      <c r="T253" s="30">
        <f>88016</f>
        <v>88016</v>
      </c>
      <c r="U253" s="30">
        <f>64</f>
        <v>64</v>
      </c>
      <c r="V253" s="30">
        <f>1707328745</f>
        <v>1707328745</v>
      </c>
      <c r="W253" s="30">
        <f>1244010</f>
        <v>1244010</v>
      </c>
      <c r="X253" s="34">
        <f>22</f>
        <v>22</v>
      </c>
    </row>
    <row r="254" spans="1:24">
      <c r="A254" s="25" t="s">
        <v>1185</v>
      </c>
      <c r="B254" s="25" t="s">
        <v>1189</v>
      </c>
      <c r="C254" s="25" t="s">
        <v>1188</v>
      </c>
      <c r="D254" s="25" t="s">
        <v>1187</v>
      </c>
      <c r="E254" s="26" t="s">
        <v>672</v>
      </c>
      <c r="F254" s="27" t="s">
        <v>673</v>
      </c>
      <c r="G254" s="28" t="s">
        <v>1186</v>
      </c>
      <c r="H254" s="29"/>
      <c r="I254" s="29" t="s">
        <v>44</v>
      </c>
      <c r="J254" s="30">
        <v>1</v>
      </c>
      <c r="K254" s="31">
        <f>976</f>
        <v>976</v>
      </c>
      <c r="L254" s="32" t="s">
        <v>679</v>
      </c>
      <c r="M254" s="31">
        <f>977</f>
        <v>977</v>
      </c>
      <c r="N254" s="32" t="s">
        <v>679</v>
      </c>
      <c r="O254" s="31">
        <f>940</f>
        <v>940</v>
      </c>
      <c r="P254" s="32" t="s">
        <v>679</v>
      </c>
      <c r="Q254" s="31">
        <f>958</f>
        <v>958</v>
      </c>
      <c r="R254" s="32" t="s">
        <v>681</v>
      </c>
      <c r="S254" s="33">
        <f>957.4</f>
        <v>957.4</v>
      </c>
      <c r="T254" s="30">
        <f>93747</f>
        <v>93747</v>
      </c>
      <c r="U254" s="30" t="str">
        <f>"－"</f>
        <v>－</v>
      </c>
      <c r="V254" s="30">
        <f>89648106</f>
        <v>89648106</v>
      </c>
      <c r="W254" s="30" t="str">
        <f>"－"</f>
        <v>－</v>
      </c>
      <c r="X254" s="34">
        <f>5</f>
        <v>5</v>
      </c>
    </row>
    <row r="255" spans="1:24">
      <c r="A255" s="25" t="s">
        <v>1185</v>
      </c>
      <c r="B255" s="25" t="s">
        <v>961</v>
      </c>
      <c r="C255" s="25" t="s">
        <v>962</v>
      </c>
      <c r="D255" s="25" t="s">
        <v>963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249.9</f>
        <v>249.9</v>
      </c>
      <c r="L255" s="32" t="s">
        <v>1110</v>
      </c>
      <c r="M255" s="31">
        <f>270</f>
        <v>270</v>
      </c>
      <c r="N255" s="32" t="s">
        <v>760</v>
      </c>
      <c r="O255" s="31">
        <f>242</f>
        <v>242</v>
      </c>
      <c r="P255" s="32" t="s">
        <v>676</v>
      </c>
      <c r="Q255" s="31">
        <f>249.4</f>
        <v>249.4</v>
      </c>
      <c r="R255" s="32" t="s">
        <v>681</v>
      </c>
      <c r="S255" s="33">
        <f>254.64</f>
        <v>254.64</v>
      </c>
      <c r="T255" s="30">
        <f>1116100</f>
        <v>1116100</v>
      </c>
      <c r="U255" s="30">
        <f>1090000</f>
        <v>1090000</v>
      </c>
      <c r="V255" s="30">
        <f>267482854</f>
        <v>267482854</v>
      </c>
      <c r="W255" s="30">
        <f>260858800</f>
        <v>260858800</v>
      </c>
      <c r="X255" s="34">
        <f>22</f>
        <v>22</v>
      </c>
    </row>
    <row r="256" spans="1:24">
      <c r="A256" s="25" t="s">
        <v>1185</v>
      </c>
      <c r="B256" s="25" t="s">
        <v>964</v>
      </c>
      <c r="C256" s="25" t="s">
        <v>965</v>
      </c>
      <c r="D256" s="25" t="s">
        <v>966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774.2</f>
        <v>774.2</v>
      </c>
      <c r="L256" s="32" t="s">
        <v>1110</v>
      </c>
      <c r="M256" s="31">
        <f>779.3</f>
        <v>779.3</v>
      </c>
      <c r="N256" s="32" t="s">
        <v>1145</v>
      </c>
      <c r="O256" s="31">
        <f>765.9</f>
        <v>765.9</v>
      </c>
      <c r="P256" s="32" t="s">
        <v>682</v>
      </c>
      <c r="Q256" s="31">
        <f>774.5</f>
        <v>774.5</v>
      </c>
      <c r="R256" s="32" t="s">
        <v>681</v>
      </c>
      <c r="S256" s="33">
        <f>772.85</f>
        <v>772.85</v>
      </c>
      <c r="T256" s="30">
        <f>8063170</f>
        <v>8063170</v>
      </c>
      <c r="U256" s="30">
        <f>5850500</f>
        <v>5850500</v>
      </c>
      <c r="V256" s="30">
        <f>6222129924</f>
        <v>6222129924</v>
      </c>
      <c r="W256" s="30">
        <f>4511433314</f>
        <v>4511433314</v>
      </c>
      <c r="X256" s="34">
        <f>22</f>
        <v>22</v>
      </c>
    </row>
    <row r="257" spans="1:24">
      <c r="A257" s="25" t="s">
        <v>1185</v>
      </c>
      <c r="B257" s="25" t="s">
        <v>982</v>
      </c>
      <c r="C257" s="25" t="s">
        <v>983</v>
      </c>
      <c r="D257" s="25" t="s">
        <v>984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1201</f>
        <v>1201</v>
      </c>
      <c r="L257" s="32" t="s">
        <v>1110</v>
      </c>
      <c r="M257" s="31">
        <f>1247</f>
        <v>1247</v>
      </c>
      <c r="N257" s="32" t="s">
        <v>682</v>
      </c>
      <c r="O257" s="31">
        <f>1150</f>
        <v>1150</v>
      </c>
      <c r="P257" s="32" t="s">
        <v>679</v>
      </c>
      <c r="Q257" s="31">
        <f>1198</f>
        <v>1198</v>
      </c>
      <c r="R257" s="32" t="s">
        <v>681</v>
      </c>
      <c r="S257" s="33">
        <f>1194.18</f>
        <v>1194.18</v>
      </c>
      <c r="T257" s="30">
        <f>811816</f>
        <v>811816</v>
      </c>
      <c r="U257" s="30" t="str">
        <f>"－"</f>
        <v>－</v>
      </c>
      <c r="V257" s="30">
        <f>976430122</f>
        <v>976430122</v>
      </c>
      <c r="W257" s="30" t="str">
        <f>"－"</f>
        <v>－</v>
      </c>
      <c r="X257" s="34">
        <f>22</f>
        <v>22</v>
      </c>
    </row>
    <row r="258" spans="1:24">
      <c r="A258" s="25" t="s">
        <v>1185</v>
      </c>
      <c r="B258" s="25" t="s">
        <v>985</v>
      </c>
      <c r="C258" s="25" t="s">
        <v>986</v>
      </c>
      <c r="D258" s="25" t="s">
        <v>987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</v>
      </c>
      <c r="K258" s="31">
        <f>1214</f>
        <v>1214</v>
      </c>
      <c r="L258" s="32" t="s">
        <v>1110</v>
      </c>
      <c r="M258" s="31">
        <f>1235</f>
        <v>1235</v>
      </c>
      <c r="N258" s="32" t="s">
        <v>680</v>
      </c>
      <c r="O258" s="31">
        <f>1168</f>
        <v>1168</v>
      </c>
      <c r="P258" s="32" t="s">
        <v>679</v>
      </c>
      <c r="Q258" s="31">
        <f>1190</f>
        <v>1190</v>
      </c>
      <c r="R258" s="32" t="s">
        <v>681</v>
      </c>
      <c r="S258" s="33">
        <f>1195.59</f>
        <v>1195.5899999999999</v>
      </c>
      <c r="T258" s="30">
        <f>111204</f>
        <v>111204</v>
      </c>
      <c r="U258" s="30">
        <f>11</f>
        <v>11</v>
      </c>
      <c r="V258" s="30">
        <f>133173896</f>
        <v>133173896</v>
      </c>
      <c r="W258" s="30">
        <f>12352</f>
        <v>12352</v>
      </c>
      <c r="X258" s="34">
        <f>22</f>
        <v>22</v>
      </c>
    </row>
    <row r="259" spans="1:24">
      <c r="A259" s="25" t="s">
        <v>1185</v>
      </c>
      <c r="B259" s="25" t="s">
        <v>988</v>
      </c>
      <c r="C259" s="25" t="s">
        <v>989</v>
      </c>
      <c r="D259" s="25" t="s">
        <v>990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</v>
      </c>
      <c r="K259" s="31">
        <f>773</f>
        <v>773</v>
      </c>
      <c r="L259" s="32" t="s">
        <v>1110</v>
      </c>
      <c r="M259" s="31">
        <f>778</f>
        <v>778</v>
      </c>
      <c r="N259" s="32" t="s">
        <v>677</v>
      </c>
      <c r="O259" s="31">
        <f>694</f>
        <v>694</v>
      </c>
      <c r="P259" s="32" t="s">
        <v>679</v>
      </c>
      <c r="Q259" s="31">
        <f>718</f>
        <v>718</v>
      </c>
      <c r="R259" s="32" t="s">
        <v>681</v>
      </c>
      <c r="S259" s="33">
        <f>742.86</f>
        <v>742.86</v>
      </c>
      <c r="T259" s="30">
        <f>211016</f>
        <v>211016</v>
      </c>
      <c r="U259" s="30" t="str">
        <f>"－"</f>
        <v>－</v>
      </c>
      <c r="V259" s="30">
        <f>157080421</f>
        <v>157080421</v>
      </c>
      <c r="W259" s="30" t="str">
        <f>"－"</f>
        <v>－</v>
      </c>
      <c r="X259" s="34">
        <f>22</f>
        <v>22</v>
      </c>
    </row>
    <row r="260" spans="1:24">
      <c r="A260" s="25" t="s">
        <v>1185</v>
      </c>
      <c r="B260" s="25" t="s">
        <v>1059</v>
      </c>
      <c r="C260" s="25" t="s">
        <v>1060</v>
      </c>
      <c r="D260" s="25" t="s">
        <v>1061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227</f>
        <v>227</v>
      </c>
      <c r="L260" s="32" t="s">
        <v>1110</v>
      </c>
      <c r="M260" s="31">
        <f>227.2</f>
        <v>227.2</v>
      </c>
      <c r="N260" s="32" t="s">
        <v>876</v>
      </c>
      <c r="O260" s="31">
        <f>211.1</f>
        <v>211.1</v>
      </c>
      <c r="P260" s="32" t="s">
        <v>679</v>
      </c>
      <c r="Q260" s="31">
        <f>216.6</f>
        <v>216.6</v>
      </c>
      <c r="R260" s="32" t="s">
        <v>681</v>
      </c>
      <c r="S260" s="33">
        <f>221.35</f>
        <v>221.35</v>
      </c>
      <c r="T260" s="30">
        <f>12075500</f>
        <v>12075500</v>
      </c>
      <c r="U260" s="30">
        <f>467010</f>
        <v>467010</v>
      </c>
      <c r="V260" s="30">
        <f>2669961846</f>
        <v>2669961846</v>
      </c>
      <c r="W260" s="30">
        <f>104832948</f>
        <v>104832948</v>
      </c>
      <c r="X260" s="34">
        <f>22</f>
        <v>22</v>
      </c>
    </row>
    <row r="261" spans="1:24">
      <c r="A261" s="25" t="s">
        <v>1185</v>
      </c>
      <c r="B261" s="25" t="s">
        <v>1062</v>
      </c>
      <c r="C261" s="25" t="s">
        <v>1063</v>
      </c>
      <c r="D261" s="25" t="s">
        <v>1064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223</f>
        <v>223</v>
      </c>
      <c r="L261" s="32" t="s">
        <v>1110</v>
      </c>
      <c r="M261" s="31">
        <f>232</f>
        <v>232</v>
      </c>
      <c r="N261" s="32" t="s">
        <v>1113</v>
      </c>
      <c r="O261" s="31">
        <f>210.8</f>
        <v>210.8</v>
      </c>
      <c r="P261" s="32" t="s">
        <v>679</v>
      </c>
      <c r="Q261" s="31">
        <f>213.5</f>
        <v>213.5</v>
      </c>
      <c r="R261" s="32" t="s">
        <v>681</v>
      </c>
      <c r="S261" s="33">
        <f>219.13</f>
        <v>219.13</v>
      </c>
      <c r="T261" s="30">
        <f>1615860</f>
        <v>1615860</v>
      </c>
      <c r="U261" s="30">
        <f>1150</f>
        <v>1150</v>
      </c>
      <c r="V261" s="30">
        <f>353803695</f>
        <v>353803695</v>
      </c>
      <c r="W261" s="30">
        <f>247052</f>
        <v>247052</v>
      </c>
      <c r="X261" s="34">
        <f>22</f>
        <v>22</v>
      </c>
    </row>
    <row r="262" spans="1:24">
      <c r="A262" s="25" t="s">
        <v>1185</v>
      </c>
      <c r="B262" s="25" t="s">
        <v>1065</v>
      </c>
      <c r="C262" s="25" t="s">
        <v>1066</v>
      </c>
      <c r="D262" s="25" t="s">
        <v>1067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225.6</f>
        <v>225.6</v>
      </c>
      <c r="L262" s="32" t="s">
        <v>1110</v>
      </c>
      <c r="M262" s="31">
        <f>235</f>
        <v>235</v>
      </c>
      <c r="N262" s="32" t="s">
        <v>876</v>
      </c>
      <c r="O262" s="31">
        <f>210.9</f>
        <v>210.9</v>
      </c>
      <c r="P262" s="32" t="s">
        <v>679</v>
      </c>
      <c r="Q262" s="31">
        <f>214.2</f>
        <v>214.2</v>
      </c>
      <c r="R262" s="32" t="s">
        <v>681</v>
      </c>
      <c r="S262" s="33">
        <f>220.23</f>
        <v>220.23</v>
      </c>
      <c r="T262" s="30">
        <f>710530</f>
        <v>710530</v>
      </c>
      <c r="U262" s="30">
        <f>680</f>
        <v>680</v>
      </c>
      <c r="V262" s="30">
        <f>156752595</f>
        <v>156752595</v>
      </c>
      <c r="W262" s="30">
        <f>142968</f>
        <v>142968</v>
      </c>
      <c r="X262" s="34">
        <f>22</f>
        <v>22</v>
      </c>
    </row>
    <row r="263" spans="1:24">
      <c r="A263" s="25" t="s">
        <v>1185</v>
      </c>
      <c r="B263" s="25" t="s">
        <v>1068</v>
      </c>
      <c r="C263" s="25" t="s">
        <v>1069</v>
      </c>
      <c r="D263" s="25" t="s">
        <v>1070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225.8</f>
        <v>225.8</v>
      </c>
      <c r="L263" s="32" t="s">
        <v>1110</v>
      </c>
      <c r="M263" s="31">
        <f>229</f>
        <v>229</v>
      </c>
      <c r="N263" s="32" t="s">
        <v>876</v>
      </c>
      <c r="O263" s="31">
        <f>213.8</f>
        <v>213.8</v>
      </c>
      <c r="P263" s="32" t="s">
        <v>679</v>
      </c>
      <c r="Q263" s="31">
        <f>215.2</f>
        <v>215.2</v>
      </c>
      <c r="R263" s="32" t="s">
        <v>681</v>
      </c>
      <c r="S263" s="33">
        <f>221.87</f>
        <v>221.87</v>
      </c>
      <c r="T263" s="30">
        <f>656480</f>
        <v>656480</v>
      </c>
      <c r="U263" s="30">
        <f>3750</f>
        <v>3750</v>
      </c>
      <c r="V263" s="30">
        <f>145136395</f>
        <v>145136395</v>
      </c>
      <c r="W263" s="30">
        <f>836744</f>
        <v>836744</v>
      </c>
      <c r="X263" s="34">
        <f>22</f>
        <v>22</v>
      </c>
    </row>
    <row r="264" spans="1:24">
      <c r="A264" s="25" t="s">
        <v>1185</v>
      </c>
      <c r="B264" s="25" t="s">
        <v>1071</v>
      </c>
      <c r="C264" s="25" t="s">
        <v>1072</v>
      </c>
      <c r="D264" s="25" t="s">
        <v>1073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10</v>
      </c>
      <c r="K264" s="31">
        <f>196.7</f>
        <v>196.7</v>
      </c>
      <c r="L264" s="32" t="s">
        <v>1110</v>
      </c>
      <c r="M264" s="31">
        <f>210.5</f>
        <v>210.5</v>
      </c>
      <c r="N264" s="32" t="s">
        <v>876</v>
      </c>
      <c r="O264" s="31">
        <f>193.9</f>
        <v>193.9</v>
      </c>
      <c r="P264" s="32" t="s">
        <v>1145</v>
      </c>
      <c r="Q264" s="31">
        <f>198.3</f>
        <v>198.3</v>
      </c>
      <c r="R264" s="32" t="s">
        <v>681</v>
      </c>
      <c r="S264" s="33">
        <f>197.05</f>
        <v>197.05</v>
      </c>
      <c r="T264" s="30">
        <f>2189680</f>
        <v>2189680</v>
      </c>
      <c r="U264" s="30">
        <f>1766000</f>
        <v>1766000</v>
      </c>
      <c r="V264" s="30">
        <f>430549897</f>
        <v>430549897</v>
      </c>
      <c r="W264" s="30">
        <f>347035352</f>
        <v>347035352</v>
      </c>
      <c r="X264" s="34">
        <f>19</f>
        <v>19</v>
      </c>
    </row>
    <row r="265" spans="1:24">
      <c r="A265" s="25" t="s">
        <v>1185</v>
      </c>
      <c r="B265" s="25" t="s">
        <v>539</v>
      </c>
      <c r="C265" s="25" t="s">
        <v>540</v>
      </c>
      <c r="D265" s="25" t="s">
        <v>541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906</f>
        <v>906</v>
      </c>
      <c r="L265" s="32" t="s">
        <v>1110</v>
      </c>
      <c r="M265" s="31">
        <f>910.6</f>
        <v>910.6</v>
      </c>
      <c r="N265" s="32" t="s">
        <v>778</v>
      </c>
      <c r="O265" s="31">
        <f>900</f>
        <v>900</v>
      </c>
      <c r="P265" s="32" t="s">
        <v>1145</v>
      </c>
      <c r="Q265" s="31">
        <f>902</f>
        <v>902</v>
      </c>
      <c r="R265" s="32" t="s">
        <v>681</v>
      </c>
      <c r="S265" s="33">
        <f>903.28</f>
        <v>903.28</v>
      </c>
      <c r="T265" s="30">
        <f>8362800</f>
        <v>8362800</v>
      </c>
      <c r="U265" s="30">
        <f>6958970</f>
        <v>6958970</v>
      </c>
      <c r="V265" s="30">
        <f>7556658579</f>
        <v>7556658579</v>
      </c>
      <c r="W265" s="30">
        <f>6288264978</f>
        <v>6288264978</v>
      </c>
      <c r="X265" s="34">
        <f>22</f>
        <v>22</v>
      </c>
    </row>
    <row r="266" spans="1:24">
      <c r="A266" s="25" t="s">
        <v>1185</v>
      </c>
      <c r="B266" s="25" t="s">
        <v>542</v>
      </c>
      <c r="C266" s="25" t="s">
        <v>543</v>
      </c>
      <c r="D266" s="25" t="s">
        <v>544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1140</f>
        <v>1140</v>
      </c>
      <c r="L266" s="32" t="s">
        <v>1110</v>
      </c>
      <c r="M266" s="31">
        <f>1164</f>
        <v>1164</v>
      </c>
      <c r="N266" s="32" t="s">
        <v>684</v>
      </c>
      <c r="O266" s="31">
        <f>1100</f>
        <v>1100</v>
      </c>
      <c r="P266" s="32" t="s">
        <v>679</v>
      </c>
      <c r="Q266" s="31">
        <f>1112</f>
        <v>1112</v>
      </c>
      <c r="R266" s="32" t="s">
        <v>681</v>
      </c>
      <c r="S266" s="33">
        <f>1138.75</f>
        <v>1138.75</v>
      </c>
      <c r="T266" s="30">
        <f>5934650</f>
        <v>5934650</v>
      </c>
      <c r="U266" s="30">
        <f>4694590</f>
        <v>4694590</v>
      </c>
      <c r="V266" s="30">
        <f>6681357513</f>
        <v>6681357513</v>
      </c>
      <c r="W266" s="30">
        <f>5271728918</f>
        <v>5271728918</v>
      </c>
      <c r="X266" s="34">
        <f>22</f>
        <v>22</v>
      </c>
    </row>
    <row r="267" spans="1:24">
      <c r="A267" s="25" t="s">
        <v>1185</v>
      </c>
      <c r="B267" s="25" t="s">
        <v>545</v>
      </c>
      <c r="C267" s="25" t="s">
        <v>546</v>
      </c>
      <c r="D267" s="25" t="s">
        <v>547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778.7</f>
        <v>778.7</v>
      </c>
      <c r="L267" s="32" t="s">
        <v>1110</v>
      </c>
      <c r="M267" s="31">
        <f>792.2</f>
        <v>792.2</v>
      </c>
      <c r="N267" s="32" t="s">
        <v>1113</v>
      </c>
      <c r="O267" s="31">
        <f>772</f>
        <v>772</v>
      </c>
      <c r="P267" s="32" t="s">
        <v>1145</v>
      </c>
      <c r="Q267" s="31">
        <f>785.7</f>
        <v>785.7</v>
      </c>
      <c r="R267" s="32" t="s">
        <v>681</v>
      </c>
      <c r="S267" s="33">
        <f>781.06</f>
        <v>781.06</v>
      </c>
      <c r="T267" s="30">
        <f>12028060</f>
        <v>12028060</v>
      </c>
      <c r="U267" s="30">
        <f>11290460</f>
        <v>11290460</v>
      </c>
      <c r="V267" s="30">
        <f>9324924161</f>
        <v>9324924161</v>
      </c>
      <c r="W267" s="30">
        <f>8750316433</f>
        <v>8750316433</v>
      </c>
      <c r="X267" s="34">
        <f>22</f>
        <v>22</v>
      </c>
    </row>
    <row r="268" spans="1:24">
      <c r="A268" s="25" t="s">
        <v>1185</v>
      </c>
      <c r="B268" s="25" t="s">
        <v>548</v>
      </c>
      <c r="C268" s="25" t="s">
        <v>549</v>
      </c>
      <c r="D268" s="25" t="s">
        <v>550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2608.5</f>
        <v>2608.5</v>
      </c>
      <c r="L268" s="32" t="s">
        <v>1110</v>
      </c>
      <c r="M268" s="31">
        <f>2689.5</f>
        <v>2689.5</v>
      </c>
      <c r="N268" s="32" t="s">
        <v>684</v>
      </c>
      <c r="O268" s="31">
        <f>2455</f>
        <v>2455</v>
      </c>
      <c r="P268" s="32" t="s">
        <v>681</v>
      </c>
      <c r="Q268" s="31">
        <f>2486.5</f>
        <v>2486.5</v>
      </c>
      <c r="R268" s="32" t="s">
        <v>681</v>
      </c>
      <c r="S268" s="33">
        <f>2592.16</f>
        <v>2592.16</v>
      </c>
      <c r="T268" s="30">
        <f>1634570</f>
        <v>1634570</v>
      </c>
      <c r="U268" s="30">
        <f>968800</f>
        <v>968800</v>
      </c>
      <c r="V268" s="30">
        <f>4140767465</f>
        <v>4140767465</v>
      </c>
      <c r="W268" s="30">
        <f>2433563425</f>
        <v>2433563425</v>
      </c>
      <c r="X268" s="34">
        <f>22</f>
        <v>22</v>
      </c>
    </row>
    <row r="269" spans="1:24">
      <c r="A269" s="25" t="s">
        <v>1185</v>
      </c>
      <c r="B269" s="25" t="s">
        <v>551</v>
      </c>
      <c r="C269" s="25" t="s">
        <v>552</v>
      </c>
      <c r="D269" s="25" t="s">
        <v>553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1604</f>
        <v>1604</v>
      </c>
      <c r="L269" s="32" t="s">
        <v>1110</v>
      </c>
      <c r="M269" s="31">
        <f>1648</f>
        <v>1648</v>
      </c>
      <c r="N269" s="32" t="s">
        <v>682</v>
      </c>
      <c r="O269" s="31">
        <f>1582.5</f>
        <v>1582.5</v>
      </c>
      <c r="P269" s="32" t="s">
        <v>676</v>
      </c>
      <c r="Q269" s="31">
        <f>1601.5</f>
        <v>1601.5</v>
      </c>
      <c r="R269" s="32" t="s">
        <v>681</v>
      </c>
      <c r="S269" s="33">
        <f>1613.34</f>
        <v>1613.34</v>
      </c>
      <c r="T269" s="30">
        <f>461410</f>
        <v>461410</v>
      </c>
      <c r="U269" s="30">
        <f>296000</f>
        <v>296000</v>
      </c>
      <c r="V269" s="30">
        <f>737342900</f>
        <v>737342900</v>
      </c>
      <c r="W269" s="30">
        <f>470462400</f>
        <v>470462400</v>
      </c>
      <c r="X269" s="34">
        <f>22</f>
        <v>22</v>
      </c>
    </row>
    <row r="270" spans="1:24">
      <c r="A270" s="25" t="s">
        <v>1185</v>
      </c>
      <c r="B270" s="25" t="s">
        <v>554</v>
      </c>
      <c r="C270" s="25" t="s">
        <v>555</v>
      </c>
      <c r="D270" s="25" t="s">
        <v>556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1398.5</f>
        <v>1398.5</v>
      </c>
      <c r="L270" s="32" t="s">
        <v>1110</v>
      </c>
      <c r="M270" s="31">
        <f>1487</f>
        <v>1487</v>
      </c>
      <c r="N270" s="32" t="s">
        <v>682</v>
      </c>
      <c r="O270" s="31">
        <f>1398.5</f>
        <v>1398.5</v>
      </c>
      <c r="P270" s="32" t="s">
        <v>1110</v>
      </c>
      <c r="Q270" s="31">
        <f>1438</f>
        <v>1438</v>
      </c>
      <c r="R270" s="32" t="s">
        <v>681</v>
      </c>
      <c r="S270" s="33">
        <f>1440.66</f>
        <v>1440.66</v>
      </c>
      <c r="T270" s="30">
        <f>2287950</f>
        <v>2287950</v>
      </c>
      <c r="U270" s="30">
        <f>1735100</f>
        <v>1735100</v>
      </c>
      <c r="V270" s="30">
        <f>3234515155</f>
        <v>3234515155</v>
      </c>
      <c r="W270" s="30">
        <f>2440443300</f>
        <v>2440443300</v>
      </c>
      <c r="X270" s="34">
        <f>22</f>
        <v>22</v>
      </c>
    </row>
    <row r="271" spans="1:24">
      <c r="A271" s="25" t="s">
        <v>1185</v>
      </c>
      <c r="B271" s="25" t="s">
        <v>557</v>
      </c>
      <c r="C271" s="25" t="s">
        <v>1074</v>
      </c>
      <c r="D271" s="25" t="s">
        <v>1075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517.6</f>
        <v>517.6</v>
      </c>
      <c r="L271" s="32" t="s">
        <v>1110</v>
      </c>
      <c r="M271" s="31">
        <f>549.4</f>
        <v>549.4</v>
      </c>
      <c r="N271" s="32" t="s">
        <v>678</v>
      </c>
      <c r="O271" s="31">
        <f>497.1</f>
        <v>497.1</v>
      </c>
      <c r="P271" s="32" t="s">
        <v>681</v>
      </c>
      <c r="Q271" s="31">
        <f>509</f>
        <v>509</v>
      </c>
      <c r="R271" s="32" t="s">
        <v>681</v>
      </c>
      <c r="S271" s="33">
        <f>515.77</f>
        <v>515.77</v>
      </c>
      <c r="T271" s="30">
        <f>25922050</f>
        <v>25922050</v>
      </c>
      <c r="U271" s="30">
        <f>321310</f>
        <v>321310</v>
      </c>
      <c r="V271" s="30">
        <f>13512368955</f>
        <v>13512368955</v>
      </c>
      <c r="W271" s="30">
        <f>173958079</f>
        <v>173958079</v>
      </c>
      <c r="X271" s="34">
        <f>22</f>
        <v>22</v>
      </c>
    </row>
    <row r="272" spans="1:24">
      <c r="A272" s="25" t="s">
        <v>1185</v>
      </c>
      <c r="B272" s="25" t="s">
        <v>558</v>
      </c>
      <c r="C272" s="25" t="s">
        <v>559</v>
      </c>
      <c r="D272" s="25" t="s">
        <v>560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1050</f>
        <v>1050</v>
      </c>
      <c r="L272" s="32" t="s">
        <v>1110</v>
      </c>
      <c r="M272" s="31">
        <f>1062</f>
        <v>1062</v>
      </c>
      <c r="N272" s="32" t="s">
        <v>678</v>
      </c>
      <c r="O272" s="31">
        <f>1031.5</f>
        <v>1031.5</v>
      </c>
      <c r="P272" s="32" t="s">
        <v>876</v>
      </c>
      <c r="Q272" s="31">
        <f>1049</f>
        <v>1049</v>
      </c>
      <c r="R272" s="32" t="s">
        <v>681</v>
      </c>
      <c r="S272" s="33">
        <f>1044.68</f>
        <v>1044.68</v>
      </c>
      <c r="T272" s="30">
        <f>287350</f>
        <v>287350</v>
      </c>
      <c r="U272" s="30">
        <f>127880</f>
        <v>127880</v>
      </c>
      <c r="V272" s="30">
        <f>298902082</f>
        <v>298902082</v>
      </c>
      <c r="W272" s="30">
        <f>132506587</f>
        <v>132506587</v>
      </c>
      <c r="X272" s="34">
        <f>22</f>
        <v>22</v>
      </c>
    </row>
    <row r="273" spans="1:24">
      <c r="A273" s="25" t="s">
        <v>1185</v>
      </c>
      <c r="B273" s="25" t="s">
        <v>561</v>
      </c>
      <c r="C273" s="25" t="s">
        <v>562</v>
      </c>
      <c r="D273" s="25" t="s">
        <v>563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</v>
      </c>
      <c r="K273" s="31">
        <f>1623</f>
        <v>1623</v>
      </c>
      <c r="L273" s="32" t="s">
        <v>1110</v>
      </c>
      <c r="M273" s="31">
        <f>1701</f>
        <v>1701</v>
      </c>
      <c r="N273" s="32" t="s">
        <v>684</v>
      </c>
      <c r="O273" s="31">
        <f>1563</f>
        <v>1563</v>
      </c>
      <c r="P273" s="32" t="s">
        <v>676</v>
      </c>
      <c r="Q273" s="31">
        <f>1620</f>
        <v>1620</v>
      </c>
      <c r="R273" s="32" t="s">
        <v>681</v>
      </c>
      <c r="S273" s="33">
        <f>1640.45</f>
        <v>1640.45</v>
      </c>
      <c r="T273" s="30">
        <f>79814</f>
        <v>79814</v>
      </c>
      <c r="U273" s="30">
        <f>2</f>
        <v>2</v>
      </c>
      <c r="V273" s="30">
        <f>131225865</f>
        <v>131225865</v>
      </c>
      <c r="W273" s="30">
        <f>3290</f>
        <v>3290</v>
      </c>
      <c r="X273" s="34">
        <f>22</f>
        <v>22</v>
      </c>
    </row>
    <row r="274" spans="1:24">
      <c r="A274" s="25" t="s">
        <v>1185</v>
      </c>
      <c r="B274" s="25" t="s">
        <v>564</v>
      </c>
      <c r="C274" s="25" t="s">
        <v>565</v>
      </c>
      <c r="D274" s="25" t="s">
        <v>566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1120</f>
        <v>1120</v>
      </c>
      <c r="L274" s="32" t="s">
        <v>1110</v>
      </c>
      <c r="M274" s="31">
        <f>1134</f>
        <v>1134</v>
      </c>
      <c r="N274" s="32" t="s">
        <v>677</v>
      </c>
      <c r="O274" s="31">
        <f>1068.5</f>
        <v>1068.5</v>
      </c>
      <c r="P274" s="32" t="s">
        <v>679</v>
      </c>
      <c r="Q274" s="31">
        <f>1087.5</f>
        <v>1087.5</v>
      </c>
      <c r="R274" s="32" t="s">
        <v>681</v>
      </c>
      <c r="S274" s="33">
        <f>1108.2</f>
        <v>1108.2</v>
      </c>
      <c r="T274" s="30">
        <f>359410</f>
        <v>359410</v>
      </c>
      <c r="U274" s="30">
        <f>66580</f>
        <v>66580</v>
      </c>
      <c r="V274" s="30">
        <f>395539491</f>
        <v>395539491</v>
      </c>
      <c r="W274" s="30">
        <f>73494596</f>
        <v>73494596</v>
      </c>
      <c r="X274" s="34">
        <f>22</f>
        <v>22</v>
      </c>
    </row>
    <row r="275" spans="1:24">
      <c r="A275" s="25" t="s">
        <v>1185</v>
      </c>
      <c r="B275" s="25" t="s">
        <v>567</v>
      </c>
      <c r="C275" s="25" t="s">
        <v>568</v>
      </c>
      <c r="D275" s="25" t="s">
        <v>569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1557</f>
        <v>1557</v>
      </c>
      <c r="L275" s="32" t="s">
        <v>1110</v>
      </c>
      <c r="M275" s="31">
        <f>1594.5</f>
        <v>1594.5</v>
      </c>
      <c r="N275" s="32" t="s">
        <v>675</v>
      </c>
      <c r="O275" s="31">
        <f>1416</f>
        <v>1416</v>
      </c>
      <c r="P275" s="32" t="s">
        <v>681</v>
      </c>
      <c r="Q275" s="31">
        <f>1440.5</f>
        <v>1440.5</v>
      </c>
      <c r="R275" s="32" t="s">
        <v>681</v>
      </c>
      <c r="S275" s="33">
        <f>1526.18</f>
        <v>1526.18</v>
      </c>
      <c r="T275" s="30">
        <f>102970</f>
        <v>102970</v>
      </c>
      <c r="U275" s="30">
        <f>240</f>
        <v>240</v>
      </c>
      <c r="V275" s="30">
        <f>156710950</f>
        <v>156710950</v>
      </c>
      <c r="W275" s="30">
        <f>363960</f>
        <v>363960</v>
      </c>
      <c r="X275" s="34">
        <f>22</f>
        <v>22</v>
      </c>
    </row>
    <row r="276" spans="1:24">
      <c r="A276" s="25" t="s">
        <v>1185</v>
      </c>
      <c r="B276" s="25" t="s">
        <v>570</v>
      </c>
      <c r="C276" s="25" t="s">
        <v>571</v>
      </c>
      <c r="D276" s="25" t="s">
        <v>572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1691.5</f>
        <v>1691.5</v>
      </c>
      <c r="L276" s="32" t="s">
        <v>1110</v>
      </c>
      <c r="M276" s="31">
        <f>1747</f>
        <v>1747</v>
      </c>
      <c r="N276" s="32" t="s">
        <v>682</v>
      </c>
      <c r="O276" s="31">
        <f>1668.5</f>
        <v>1668.5</v>
      </c>
      <c r="P276" s="32" t="s">
        <v>676</v>
      </c>
      <c r="Q276" s="31">
        <f>1687</f>
        <v>1687</v>
      </c>
      <c r="R276" s="32" t="s">
        <v>681</v>
      </c>
      <c r="S276" s="33">
        <f>1711</f>
        <v>1711</v>
      </c>
      <c r="T276" s="30">
        <f>5235440</f>
        <v>5235440</v>
      </c>
      <c r="U276" s="30">
        <f>4260660</f>
        <v>4260660</v>
      </c>
      <c r="V276" s="30">
        <f>8829817251</f>
        <v>8829817251</v>
      </c>
      <c r="W276" s="30">
        <f>7157482796</f>
        <v>7157482796</v>
      </c>
      <c r="X276" s="34">
        <f>22</f>
        <v>22</v>
      </c>
    </row>
    <row r="277" spans="1:24">
      <c r="A277" s="25" t="s">
        <v>1185</v>
      </c>
      <c r="B277" s="25" t="s">
        <v>573</v>
      </c>
      <c r="C277" s="25" t="s">
        <v>574</v>
      </c>
      <c r="D277" s="25" t="s">
        <v>575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5560</f>
        <v>5560</v>
      </c>
      <c r="L277" s="32" t="s">
        <v>1110</v>
      </c>
      <c r="M277" s="31">
        <f>5750</f>
        <v>5750</v>
      </c>
      <c r="N277" s="32" t="s">
        <v>682</v>
      </c>
      <c r="O277" s="31">
        <f>5190</f>
        <v>5190</v>
      </c>
      <c r="P277" s="32" t="s">
        <v>679</v>
      </c>
      <c r="Q277" s="31">
        <f>5280</f>
        <v>5280</v>
      </c>
      <c r="R277" s="32" t="s">
        <v>681</v>
      </c>
      <c r="S277" s="33">
        <f>5531.36</f>
        <v>5531.36</v>
      </c>
      <c r="T277" s="30">
        <f>153686</f>
        <v>153686</v>
      </c>
      <c r="U277" s="30">
        <f>100000</f>
        <v>100000</v>
      </c>
      <c r="V277" s="30">
        <f>824283360</f>
        <v>824283360</v>
      </c>
      <c r="W277" s="30">
        <f>534447200</f>
        <v>534447200</v>
      </c>
      <c r="X277" s="34">
        <f>22</f>
        <v>22</v>
      </c>
    </row>
    <row r="278" spans="1:24">
      <c r="A278" s="25" t="s">
        <v>1185</v>
      </c>
      <c r="B278" s="25" t="s">
        <v>576</v>
      </c>
      <c r="C278" s="25" t="s">
        <v>577</v>
      </c>
      <c r="D278" s="25" t="s">
        <v>578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10</v>
      </c>
      <c r="K278" s="31">
        <f>2382</f>
        <v>2382</v>
      </c>
      <c r="L278" s="32" t="s">
        <v>1113</v>
      </c>
      <c r="M278" s="31">
        <f>2467</f>
        <v>2467</v>
      </c>
      <c r="N278" s="32" t="s">
        <v>876</v>
      </c>
      <c r="O278" s="31">
        <f>2253.5</f>
        <v>2253.5</v>
      </c>
      <c r="P278" s="32" t="s">
        <v>681</v>
      </c>
      <c r="Q278" s="31">
        <f>2253.5</f>
        <v>2253.5</v>
      </c>
      <c r="R278" s="32" t="s">
        <v>681</v>
      </c>
      <c r="S278" s="33">
        <f>2354.71</f>
        <v>2354.71</v>
      </c>
      <c r="T278" s="30">
        <f>690</f>
        <v>690</v>
      </c>
      <c r="U278" s="30" t="str">
        <f>"－"</f>
        <v>－</v>
      </c>
      <c r="V278" s="30">
        <f>1645340</f>
        <v>1645340</v>
      </c>
      <c r="W278" s="30" t="str">
        <f>"－"</f>
        <v>－</v>
      </c>
      <c r="X278" s="34">
        <f>7</f>
        <v>7</v>
      </c>
    </row>
    <row r="279" spans="1:24">
      <c r="A279" s="25" t="s">
        <v>1185</v>
      </c>
      <c r="B279" s="25" t="s">
        <v>579</v>
      </c>
      <c r="C279" s="25" t="s">
        <v>580</v>
      </c>
      <c r="D279" s="25" t="s">
        <v>581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10</v>
      </c>
      <c r="K279" s="31">
        <f>2906.5</f>
        <v>2906.5</v>
      </c>
      <c r="L279" s="32" t="s">
        <v>1110</v>
      </c>
      <c r="M279" s="31">
        <f>3031</f>
        <v>3031</v>
      </c>
      <c r="N279" s="32" t="s">
        <v>684</v>
      </c>
      <c r="O279" s="31">
        <f>2746</f>
        <v>2746</v>
      </c>
      <c r="P279" s="32" t="s">
        <v>676</v>
      </c>
      <c r="Q279" s="31">
        <f>2884.5</f>
        <v>2884.5</v>
      </c>
      <c r="R279" s="32" t="s">
        <v>681</v>
      </c>
      <c r="S279" s="33">
        <f>2933.43</f>
        <v>2933.43</v>
      </c>
      <c r="T279" s="30">
        <f>2842200</f>
        <v>2842200</v>
      </c>
      <c r="U279" s="30">
        <f>2611990</f>
        <v>2611990</v>
      </c>
      <c r="V279" s="30">
        <f>8374262358</f>
        <v>8374262358</v>
      </c>
      <c r="W279" s="30">
        <f>7698663378</f>
        <v>7698663378</v>
      </c>
      <c r="X279" s="34">
        <f>22</f>
        <v>22</v>
      </c>
    </row>
    <row r="280" spans="1:24">
      <c r="A280" s="25" t="s">
        <v>1185</v>
      </c>
      <c r="B280" s="25" t="s">
        <v>582</v>
      </c>
      <c r="C280" s="25" t="s">
        <v>583</v>
      </c>
      <c r="D280" s="25" t="s">
        <v>584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</v>
      </c>
      <c r="K280" s="31">
        <f>40600</f>
        <v>40600</v>
      </c>
      <c r="L280" s="32" t="s">
        <v>1110</v>
      </c>
      <c r="M280" s="31">
        <f>43270</f>
        <v>43270</v>
      </c>
      <c r="N280" s="32" t="s">
        <v>684</v>
      </c>
      <c r="O280" s="31">
        <f>38580</f>
        <v>38580</v>
      </c>
      <c r="P280" s="32" t="s">
        <v>676</v>
      </c>
      <c r="Q280" s="31">
        <f>39770</f>
        <v>39770</v>
      </c>
      <c r="R280" s="32" t="s">
        <v>681</v>
      </c>
      <c r="S280" s="33">
        <f>40944.09</f>
        <v>40944.089999999997</v>
      </c>
      <c r="T280" s="30">
        <f>269406</f>
        <v>269406</v>
      </c>
      <c r="U280" s="30">
        <f>151010</f>
        <v>151010</v>
      </c>
      <c r="V280" s="30">
        <f>10745920758</f>
        <v>10745920758</v>
      </c>
      <c r="W280" s="30">
        <f>6008192238</f>
        <v>6008192238</v>
      </c>
      <c r="X280" s="34">
        <f>22</f>
        <v>22</v>
      </c>
    </row>
    <row r="281" spans="1:24">
      <c r="A281" s="25" t="s">
        <v>1185</v>
      </c>
      <c r="B281" s="25" t="s">
        <v>585</v>
      </c>
      <c r="C281" s="25" t="s">
        <v>586</v>
      </c>
      <c r="D281" s="25" t="s">
        <v>587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</v>
      </c>
      <c r="K281" s="31">
        <f>26805</f>
        <v>26805</v>
      </c>
      <c r="L281" s="32" t="s">
        <v>1110</v>
      </c>
      <c r="M281" s="31">
        <f>27340</f>
        <v>27340</v>
      </c>
      <c r="N281" s="32" t="s">
        <v>760</v>
      </c>
      <c r="O281" s="31">
        <f>25340</f>
        <v>25340</v>
      </c>
      <c r="P281" s="32" t="s">
        <v>679</v>
      </c>
      <c r="Q281" s="31">
        <f>25960</f>
        <v>25960</v>
      </c>
      <c r="R281" s="32" t="s">
        <v>681</v>
      </c>
      <c r="S281" s="33">
        <f>26638.93</f>
        <v>26638.93</v>
      </c>
      <c r="T281" s="30">
        <f>22916</f>
        <v>22916</v>
      </c>
      <c r="U281" s="30">
        <f>21763</f>
        <v>21763</v>
      </c>
      <c r="V281" s="30">
        <f>611008917</f>
        <v>611008917</v>
      </c>
      <c r="W281" s="30">
        <f>580361712</f>
        <v>580361712</v>
      </c>
      <c r="X281" s="34">
        <f>14</f>
        <v>14</v>
      </c>
    </row>
    <row r="282" spans="1:24">
      <c r="A282" s="25" t="s">
        <v>1185</v>
      </c>
      <c r="B282" s="25" t="s">
        <v>588</v>
      </c>
      <c r="C282" s="25" t="s">
        <v>589</v>
      </c>
      <c r="D282" s="25" t="s">
        <v>590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10</v>
      </c>
      <c r="K282" s="31">
        <f>1060</f>
        <v>1060</v>
      </c>
      <c r="L282" s="32" t="s">
        <v>1110</v>
      </c>
      <c r="M282" s="31">
        <f>1060</f>
        <v>1060</v>
      </c>
      <c r="N282" s="32" t="s">
        <v>1110</v>
      </c>
      <c r="O282" s="31">
        <f>1030.5</f>
        <v>1030.5</v>
      </c>
      <c r="P282" s="32" t="s">
        <v>679</v>
      </c>
      <c r="Q282" s="31">
        <f>1045</f>
        <v>1045</v>
      </c>
      <c r="R282" s="32" t="s">
        <v>681</v>
      </c>
      <c r="S282" s="33">
        <f>1046.29</f>
        <v>1046.29</v>
      </c>
      <c r="T282" s="30">
        <f>1156020</f>
        <v>1156020</v>
      </c>
      <c r="U282" s="30">
        <f>1024970</f>
        <v>1024970</v>
      </c>
      <c r="V282" s="30">
        <f>1216506312</f>
        <v>1216506312</v>
      </c>
      <c r="W282" s="30">
        <f>1078308627</f>
        <v>1078308627</v>
      </c>
      <c r="X282" s="34">
        <f>21</f>
        <v>21</v>
      </c>
    </row>
    <row r="283" spans="1:24">
      <c r="A283" s="25" t="s">
        <v>1185</v>
      </c>
      <c r="B283" s="25" t="s">
        <v>591</v>
      </c>
      <c r="C283" s="25" t="s">
        <v>946</v>
      </c>
      <c r="D283" s="25" t="s">
        <v>947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</v>
      </c>
      <c r="K283" s="31">
        <f>1041</f>
        <v>1041</v>
      </c>
      <c r="L283" s="32" t="s">
        <v>1110</v>
      </c>
      <c r="M283" s="31">
        <f>1058</f>
        <v>1058</v>
      </c>
      <c r="N283" s="32" t="s">
        <v>678</v>
      </c>
      <c r="O283" s="31">
        <f>1027</f>
        <v>1027</v>
      </c>
      <c r="P283" s="32" t="s">
        <v>676</v>
      </c>
      <c r="Q283" s="31">
        <f>1041</f>
        <v>1041</v>
      </c>
      <c r="R283" s="32" t="s">
        <v>681</v>
      </c>
      <c r="S283" s="33">
        <f>1038.91</f>
        <v>1038.9100000000001</v>
      </c>
      <c r="T283" s="30">
        <f>34312</f>
        <v>34312</v>
      </c>
      <c r="U283" s="30" t="str">
        <f>"－"</f>
        <v>－</v>
      </c>
      <c r="V283" s="30">
        <f>35622104</f>
        <v>35622104</v>
      </c>
      <c r="W283" s="30" t="str">
        <f>"－"</f>
        <v>－</v>
      </c>
      <c r="X283" s="34">
        <f>22</f>
        <v>22</v>
      </c>
    </row>
    <row r="284" spans="1:24">
      <c r="A284" s="25" t="s">
        <v>1185</v>
      </c>
      <c r="B284" s="25" t="s">
        <v>592</v>
      </c>
      <c r="C284" s="25" t="s">
        <v>593</v>
      </c>
      <c r="D284" s="25" t="s">
        <v>594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</v>
      </c>
      <c r="K284" s="31">
        <f>1769</f>
        <v>1769</v>
      </c>
      <c r="L284" s="32" t="s">
        <v>1110</v>
      </c>
      <c r="M284" s="31">
        <f>1793</f>
        <v>1793</v>
      </c>
      <c r="N284" s="32" t="s">
        <v>682</v>
      </c>
      <c r="O284" s="31">
        <f>1689</f>
        <v>1689</v>
      </c>
      <c r="P284" s="32" t="s">
        <v>676</v>
      </c>
      <c r="Q284" s="31">
        <f>1744</f>
        <v>1744</v>
      </c>
      <c r="R284" s="32" t="s">
        <v>681</v>
      </c>
      <c r="S284" s="33">
        <f>1759</f>
        <v>1759</v>
      </c>
      <c r="T284" s="30">
        <f>729494</f>
        <v>729494</v>
      </c>
      <c r="U284" s="30">
        <f>384472</f>
        <v>384472</v>
      </c>
      <c r="V284" s="30">
        <f>1263175595</f>
        <v>1263175595</v>
      </c>
      <c r="W284" s="30">
        <f>660784102</f>
        <v>660784102</v>
      </c>
      <c r="X284" s="34">
        <f>22</f>
        <v>22</v>
      </c>
    </row>
    <row r="285" spans="1:24">
      <c r="A285" s="25" t="s">
        <v>1185</v>
      </c>
      <c r="B285" s="25" t="s">
        <v>595</v>
      </c>
      <c r="C285" s="25" t="s">
        <v>596</v>
      </c>
      <c r="D285" s="25" t="s">
        <v>597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13540</f>
        <v>13540</v>
      </c>
      <c r="L285" s="32" t="s">
        <v>1110</v>
      </c>
      <c r="M285" s="31">
        <f>13900</f>
        <v>13900</v>
      </c>
      <c r="N285" s="32" t="s">
        <v>684</v>
      </c>
      <c r="O285" s="31">
        <f>12885</f>
        <v>12885</v>
      </c>
      <c r="P285" s="32" t="s">
        <v>676</v>
      </c>
      <c r="Q285" s="31">
        <f>13085</f>
        <v>13085</v>
      </c>
      <c r="R285" s="32" t="s">
        <v>681</v>
      </c>
      <c r="S285" s="33">
        <f>13537.5</f>
        <v>13537.5</v>
      </c>
      <c r="T285" s="30">
        <f>764</f>
        <v>764</v>
      </c>
      <c r="U285" s="30" t="str">
        <f>"－"</f>
        <v>－</v>
      </c>
      <c r="V285" s="30">
        <f>10301375</f>
        <v>10301375</v>
      </c>
      <c r="W285" s="30" t="str">
        <f>"－"</f>
        <v>－</v>
      </c>
      <c r="X285" s="34">
        <f>22</f>
        <v>22</v>
      </c>
    </row>
    <row r="286" spans="1:24">
      <c r="A286" s="25" t="s">
        <v>1185</v>
      </c>
      <c r="B286" s="25" t="s">
        <v>598</v>
      </c>
      <c r="C286" s="25" t="s">
        <v>599</v>
      </c>
      <c r="D286" s="25" t="s">
        <v>600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1860</f>
        <v>1860</v>
      </c>
      <c r="L286" s="32" t="s">
        <v>1110</v>
      </c>
      <c r="M286" s="31">
        <f>1890</f>
        <v>1890</v>
      </c>
      <c r="N286" s="32" t="s">
        <v>680</v>
      </c>
      <c r="O286" s="31">
        <f>1831</f>
        <v>1831</v>
      </c>
      <c r="P286" s="32" t="s">
        <v>1145</v>
      </c>
      <c r="Q286" s="31">
        <f>1864</f>
        <v>1864</v>
      </c>
      <c r="R286" s="32" t="s">
        <v>681</v>
      </c>
      <c r="S286" s="33">
        <f>1853.73</f>
        <v>1853.73</v>
      </c>
      <c r="T286" s="30">
        <f>307364</f>
        <v>307364</v>
      </c>
      <c r="U286" s="30">
        <f>271553</f>
        <v>271553</v>
      </c>
      <c r="V286" s="30">
        <f>566344189</f>
        <v>566344189</v>
      </c>
      <c r="W286" s="30">
        <f>500010681</f>
        <v>500010681</v>
      </c>
      <c r="X286" s="34">
        <f>22</f>
        <v>22</v>
      </c>
    </row>
    <row r="287" spans="1:24">
      <c r="A287" s="25" t="s">
        <v>1185</v>
      </c>
      <c r="B287" s="25" t="s">
        <v>601</v>
      </c>
      <c r="C287" s="25" t="s">
        <v>602</v>
      </c>
      <c r="D287" s="25" t="s">
        <v>603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1580</f>
        <v>1580</v>
      </c>
      <c r="L287" s="32" t="s">
        <v>1110</v>
      </c>
      <c r="M287" s="31">
        <f>1580</f>
        <v>1580</v>
      </c>
      <c r="N287" s="32" t="s">
        <v>1110</v>
      </c>
      <c r="O287" s="31">
        <f>1333</f>
        <v>1333</v>
      </c>
      <c r="P287" s="32" t="s">
        <v>679</v>
      </c>
      <c r="Q287" s="31">
        <f>1360</f>
        <v>1360</v>
      </c>
      <c r="R287" s="32" t="s">
        <v>681</v>
      </c>
      <c r="S287" s="33">
        <f>1433.36</f>
        <v>1433.36</v>
      </c>
      <c r="T287" s="30">
        <f>1550</f>
        <v>1550</v>
      </c>
      <c r="U287" s="30" t="str">
        <f>"－"</f>
        <v>－</v>
      </c>
      <c r="V287" s="30">
        <f>2227835</f>
        <v>2227835</v>
      </c>
      <c r="W287" s="30" t="str">
        <f>"－"</f>
        <v>－</v>
      </c>
      <c r="X287" s="34">
        <f>22</f>
        <v>22</v>
      </c>
    </row>
    <row r="288" spans="1:24">
      <c r="A288" s="25" t="s">
        <v>1185</v>
      </c>
      <c r="B288" s="25" t="s">
        <v>604</v>
      </c>
      <c r="C288" s="25" t="s">
        <v>685</v>
      </c>
      <c r="D288" s="25" t="s">
        <v>686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10</v>
      </c>
      <c r="K288" s="31">
        <f>793.1</f>
        <v>793.1</v>
      </c>
      <c r="L288" s="32" t="s">
        <v>1110</v>
      </c>
      <c r="M288" s="31">
        <f>805</f>
        <v>805</v>
      </c>
      <c r="N288" s="32" t="s">
        <v>883</v>
      </c>
      <c r="O288" s="31">
        <f>792</f>
        <v>792</v>
      </c>
      <c r="P288" s="32" t="s">
        <v>1116</v>
      </c>
      <c r="Q288" s="31">
        <f>803.2</f>
        <v>803.2</v>
      </c>
      <c r="R288" s="32" t="s">
        <v>681</v>
      </c>
      <c r="S288" s="33">
        <f>799.2</f>
        <v>799.2</v>
      </c>
      <c r="T288" s="30">
        <f>229990</f>
        <v>229990</v>
      </c>
      <c r="U288" s="30">
        <f>136870</f>
        <v>136870</v>
      </c>
      <c r="V288" s="30">
        <f>184162708</f>
        <v>184162708</v>
      </c>
      <c r="W288" s="30">
        <f>109728679</f>
        <v>109728679</v>
      </c>
      <c r="X288" s="34">
        <f>22</f>
        <v>22</v>
      </c>
    </row>
    <row r="289" spans="1:24">
      <c r="A289" s="25" t="s">
        <v>1185</v>
      </c>
      <c r="B289" s="25" t="s">
        <v>605</v>
      </c>
      <c r="C289" s="25" t="s">
        <v>606</v>
      </c>
      <c r="D289" s="25" t="s">
        <v>607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1790</f>
        <v>1790</v>
      </c>
      <c r="L289" s="32" t="s">
        <v>1110</v>
      </c>
      <c r="M289" s="31">
        <f>1797.5</f>
        <v>1797.5</v>
      </c>
      <c r="N289" s="32" t="s">
        <v>678</v>
      </c>
      <c r="O289" s="31">
        <f>1744</f>
        <v>1744</v>
      </c>
      <c r="P289" s="32" t="s">
        <v>679</v>
      </c>
      <c r="Q289" s="31">
        <f>1774.5</f>
        <v>1774.5</v>
      </c>
      <c r="R289" s="32" t="s">
        <v>681</v>
      </c>
      <c r="S289" s="33">
        <f>1768.07</f>
        <v>1768.07</v>
      </c>
      <c r="T289" s="30">
        <f>186650</f>
        <v>186650</v>
      </c>
      <c r="U289" s="30">
        <f>1060</f>
        <v>1060</v>
      </c>
      <c r="V289" s="30">
        <f>330420163</f>
        <v>330420163</v>
      </c>
      <c r="W289" s="30">
        <f>1872453</f>
        <v>1872453</v>
      </c>
      <c r="X289" s="34">
        <f>22</f>
        <v>22</v>
      </c>
    </row>
    <row r="290" spans="1:24">
      <c r="A290" s="25" t="s">
        <v>1185</v>
      </c>
      <c r="B290" s="25" t="s">
        <v>608</v>
      </c>
      <c r="C290" s="25" t="s">
        <v>609</v>
      </c>
      <c r="D290" s="25" t="s">
        <v>610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10</v>
      </c>
      <c r="K290" s="31">
        <f>1790.5</f>
        <v>1790.5</v>
      </c>
      <c r="L290" s="32" t="s">
        <v>1110</v>
      </c>
      <c r="M290" s="31">
        <f>1795</f>
        <v>1795</v>
      </c>
      <c r="N290" s="32" t="s">
        <v>678</v>
      </c>
      <c r="O290" s="31">
        <f>1738</f>
        <v>1738</v>
      </c>
      <c r="P290" s="32" t="s">
        <v>876</v>
      </c>
      <c r="Q290" s="31">
        <f>1769</f>
        <v>1769</v>
      </c>
      <c r="R290" s="32" t="s">
        <v>681</v>
      </c>
      <c r="S290" s="33">
        <f>1765.25</f>
        <v>1765.25</v>
      </c>
      <c r="T290" s="30">
        <f>1809560</f>
        <v>1809560</v>
      </c>
      <c r="U290" s="30">
        <f>730020</f>
        <v>730020</v>
      </c>
      <c r="V290" s="30">
        <f>3185654529</f>
        <v>3185654529</v>
      </c>
      <c r="W290" s="30">
        <f>1282776634</f>
        <v>1282776634</v>
      </c>
      <c r="X290" s="34">
        <f>22</f>
        <v>22</v>
      </c>
    </row>
    <row r="291" spans="1:24">
      <c r="A291" s="25" t="s">
        <v>1185</v>
      </c>
      <c r="B291" s="25" t="s">
        <v>611</v>
      </c>
      <c r="C291" s="25" t="s">
        <v>612</v>
      </c>
      <c r="D291" s="25" t="s">
        <v>613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10</v>
      </c>
      <c r="K291" s="31">
        <f>2864</f>
        <v>2864</v>
      </c>
      <c r="L291" s="32" t="s">
        <v>1110</v>
      </c>
      <c r="M291" s="31">
        <f>2955</f>
        <v>2955</v>
      </c>
      <c r="N291" s="32" t="s">
        <v>684</v>
      </c>
      <c r="O291" s="31">
        <f>2727</f>
        <v>2727</v>
      </c>
      <c r="P291" s="32" t="s">
        <v>681</v>
      </c>
      <c r="Q291" s="31">
        <f>2727</f>
        <v>2727</v>
      </c>
      <c r="R291" s="32" t="s">
        <v>681</v>
      </c>
      <c r="S291" s="33">
        <f>2869.3</f>
        <v>2869.3</v>
      </c>
      <c r="T291" s="30">
        <f>2544880</f>
        <v>2544880</v>
      </c>
      <c r="U291" s="30">
        <f>460170</f>
        <v>460170</v>
      </c>
      <c r="V291" s="30">
        <f>7318818852</f>
        <v>7318818852</v>
      </c>
      <c r="W291" s="30">
        <f>1341295317</f>
        <v>1341295317</v>
      </c>
      <c r="X291" s="34">
        <f>22</f>
        <v>22</v>
      </c>
    </row>
    <row r="292" spans="1:24">
      <c r="A292" s="25" t="s">
        <v>1185</v>
      </c>
      <c r="B292" s="25" t="s">
        <v>614</v>
      </c>
      <c r="C292" s="25" t="s">
        <v>615</v>
      </c>
      <c r="D292" s="25" t="s">
        <v>616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25285</f>
        <v>25285</v>
      </c>
      <c r="L292" s="32" t="s">
        <v>1110</v>
      </c>
      <c r="M292" s="31">
        <f>26165</f>
        <v>26165</v>
      </c>
      <c r="N292" s="32" t="s">
        <v>684</v>
      </c>
      <c r="O292" s="31">
        <f>23760</f>
        <v>23760</v>
      </c>
      <c r="P292" s="32" t="s">
        <v>681</v>
      </c>
      <c r="Q292" s="31">
        <f>24050</f>
        <v>24050</v>
      </c>
      <c r="R292" s="32" t="s">
        <v>681</v>
      </c>
      <c r="S292" s="33">
        <f>25135.68</f>
        <v>25135.68</v>
      </c>
      <c r="T292" s="30">
        <f>1332435</f>
        <v>1332435</v>
      </c>
      <c r="U292" s="30">
        <f>169009</f>
        <v>169009</v>
      </c>
      <c r="V292" s="30">
        <f>33539408422</f>
        <v>33539408422</v>
      </c>
      <c r="W292" s="30">
        <f>4283801422</f>
        <v>4283801422</v>
      </c>
      <c r="X292" s="34">
        <f>22</f>
        <v>22</v>
      </c>
    </row>
    <row r="293" spans="1:24">
      <c r="A293" s="25" t="s">
        <v>1185</v>
      </c>
      <c r="B293" s="25" t="s">
        <v>617</v>
      </c>
      <c r="C293" s="25" t="s">
        <v>618</v>
      </c>
      <c r="D293" s="25" t="s">
        <v>619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21300</f>
        <v>21300</v>
      </c>
      <c r="L293" s="32" t="s">
        <v>1110</v>
      </c>
      <c r="M293" s="31">
        <f>21975</f>
        <v>21975</v>
      </c>
      <c r="N293" s="32" t="s">
        <v>684</v>
      </c>
      <c r="O293" s="31">
        <f>19990</f>
        <v>19990</v>
      </c>
      <c r="P293" s="32" t="s">
        <v>679</v>
      </c>
      <c r="Q293" s="31">
        <f>20355</f>
        <v>20355</v>
      </c>
      <c r="R293" s="32" t="s">
        <v>681</v>
      </c>
      <c r="S293" s="33">
        <f>21154.09</f>
        <v>21154.09</v>
      </c>
      <c r="T293" s="30">
        <f>548192</f>
        <v>548192</v>
      </c>
      <c r="U293" s="30">
        <f>8831</f>
        <v>8831</v>
      </c>
      <c r="V293" s="30">
        <f>11566677528</f>
        <v>11566677528</v>
      </c>
      <c r="W293" s="30">
        <f>184955163</f>
        <v>184955163</v>
      </c>
      <c r="X293" s="34">
        <f>22</f>
        <v>22</v>
      </c>
    </row>
    <row r="294" spans="1:24">
      <c r="A294" s="25" t="s">
        <v>1185</v>
      </c>
      <c r="B294" s="25" t="s">
        <v>620</v>
      </c>
      <c r="C294" s="25" t="s">
        <v>621</v>
      </c>
      <c r="D294" s="25" t="s">
        <v>622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</v>
      </c>
      <c r="K294" s="31">
        <f>37770</f>
        <v>37770</v>
      </c>
      <c r="L294" s="32" t="s">
        <v>1110</v>
      </c>
      <c r="M294" s="31">
        <f>38990</f>
        <v>38990</v>
      </c>
      <c r="N294" s="32" t="s">
        <v>684</v>
      </c>
      <c r="O294" s="31">
        <f>35820</f>
        <v>35820</v>
      </c>
      <c r="P294" s="32" t="s">
        <v>676</v>
      </c>
      <c r="Q294" s="31">
        <f>36480</f>
        <v>36480</v>
      </c>
      <c r="R294" s="32" t="s">
        <v>777</v>
      </c>
      <c r="S294" s="33">
        <f>37521.82</f>
        <v>37521.82</v>
      </c>
      <c r="T294" s="30">
        <f>493</f>
        <v>493</v>
      </c>
      <c r="U294" s="30" t="str">
        <f>"－"</f>
        <v>－</v>
      </c>
      <c r="V294" s="30">
        <f>18503430</f>
        <v>18503430</v>
      </c>
      <c r="W294" s="30" t="str">
        <f>"－"</f>
        <v>－</v>
      </c>
      <c r="X294" s="34">
        <f>11</f>
        <v>11</v>
      </c>
    </row>
    <row r="295" spans="1:24">
      <c r="A295" s="25" t="s">
        <v>1185</v>
      </c>
      <c r="B295" s="25" t="s">
        <v>623</v>
      </c>
      <c r="C295" s="25" t="s">
        <v>624</v>
      </c>
      <c r="D295" s="25" t="s">
        <v>625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</v>
      </c>
      <c r="K295" s="31">
        <f>2345</f>
        <v>2345</v>
      </c>
      <c r="L295" s="32" t="s">
        <v>1110</v>
      </c>
      <c r="M295" s="31">
        <f>2363</f>
        <v>2363</v>
      </c>
      <c r="N295" s="32" t="s">
        <v>1110</v>
      </c>
      <c r="O295" s="31">
        <f>2320</f>
        <v>2320</v>
      </c>
      <c r="P295" s="32" t="s">
        <v>684</v>
      </c>
      <c r="Q295" s="31">
        <f>2333</f>
        <v>2333</v>
      </c>
      <c r="R295" s="32" t="s">
        <v>681</v>
      </c>
      <c r="S295" s="33">
        <f>2335.18</f>
        <v>2335.1799999999998</v>
      </c>
      <c r="T295" s="30">
        <f>984974</f>
        <v>984974</v>
      </c>
      <c r="U295" s="30">
        <f>589853</f>
        <v>589853</v>
      </c>
      <c r="V295" s="30">
        <f>2299186313</f>
        <v>2299186313</v>
      </c>
      <c r="W295" s="30">
        <f>1373706624</f>
        <v>1373706624</v>
      </c>
      <c r="X295" s="34">
        <f>22</f>
        <v>22</v>
      </c>
    </row>
    <row r="296" spans="1:24">
      <c r="A296" s="25" t="s">
        <v>1185</v>
      </c>
      <c r="B296" s="25" t="s">
        <v>626</v>
      </c>
      <c r="C296" s="25" t="s">
        <v>627</v>
      </c>
      <c r="D296" s="25" t="s">
        <v>628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3011</f>
        <v>3011</v>
      </c>
      <c r="L296" s="32" t="s">
        <v>1110</v>
      </c>
      <c r="M296" s="31">
        <f>3138</f>
        <v>3138</v>
      </c>
      <c r="N296" s="32" t="s">
        <v>678</v>
      </c>
      <c r="O296" s="31">
        <f>2952.5</f>
        <v>2952.5</v>
      </c>
      <c r="P296" s="32" t="s">
        <v>679</v>
      </c>
      <c r="Q296" s="31">
        <f>3100</f>
        <v>3100</v>
      </c>
      <c r="R296" s="32" t="s">
        <v>681</v>
      </c>
      <c r="S296" s="33">
        <f>3046.55</f>
        <v>3046.55</v>
      </c>
      <c r="T296" s="30">
        <f>2445470</f>
        <v>2445470</v>
      </c>
      <c r="U296" s="30">
        <f>1641170</f>
        <v>1641170</v>
      </c>
      <c r="V296" s="30">
        <f>7522264072</f>
        <v>7522264072</v>
      </c>
      <c r="W296" s="30">
        <f>5045793577</f>
        <v>5045793577</v>
      </c>
      <c r="X296" s="34">
        <f>22</f>
        <v>22</v>
      </c>
    </row>
    <row r="297" spans="1:24">
      <c r="A297" s="25" t="s">
        <v>1185</v>
      </c>
      <c r="B297" s="25" t="s">
        <v>629</v>
      </c>
      <c r="C297" s="25" t="s">
        <v>630</v>
      </c>
      <c r="D297" s="25" t="s">
        <v>631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10</v>
      </c>
      <c r="K297" s="31">
        <f>317.8</f>
        <v>317.8</v>
      </c>
      <c r="L297" s="32" t="s">
        <v>1110</v>
      </c>
      <c r="M297" s="31">
        <f>327.3</f>
        <v>327.3</v>
      </c>
      <c r="N297" s="32" t="s">
        <v>682</v>
      </c>
      <c r="O297" s="31">
        <f>312.5</f>
        <v>312.5</v>
      </c>
      <c r="P297" s="32" t="s">
        <v>676</v>
      </c>
      <c r="Q297" s="31">
        <f>315.7</f>
        <v>315.7</v>
      </c>
      <c r="R297" s="32" t="s">
        <v>681</v>
      </c>
      <c r="S297" s="33">
        <f>320.08</f>
        <v>320.08</v>
      </c>
      <c r="T297" s="30">
        <f>33287960</f>
        <v>33287960</v>
      </c>
      <c r="U297" s="30">
        <f>9687680</f>
        <v>9687680</v>
      </c>
      <c r="V297" s="30">
        <f>10649760175</f>
        <v>10649760175</v>
      </c>
      <c r="W297" s="30">
        <f>3097025920</f>
        <v>3097025920</v>
      </c>
      <c r="X297" s="34">
        <f>22</f>
        <v>22</v>
      </c>
    </row>
    <row r="298" spans="1:24">
      <c r="A298" s="25" t="s">
        <v>1185</v>
      </c>
      <c r="B298" s="25" t="s">
        <v>632</v>
      </c>
      <c r="C298" s="25" t="s">
        <v>633</v>
      </c>
      <c r="D298" s="25" t="s">
        <v>634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2890</f>
        <v>2890</v>
      </c>
      <c r="L298" s="32" t="s">
        <v>1110</v>
      </c>
      <c r="M298" s="31">
        <f>2984</f>
        <v>2984</v>
      </c>
      <c r="N298" s="32" t="s">
        <v>682</v>
      </c>
      <c r="O298" s="31">
        <f>2812</f>
        <v>2812</v>
      </c>
      <c r="P298" s="32" t="s">
        <v>676</v>
      </c>
      <c r="Q298" s="31">
        <f>2907</f>
        <v>2907</v>
      </c>
      <c r="R298" s="32" t="s">
        <v>681</v>
      </c>
      <c r="S298" s="33">
        <f>2911.23</f>
        <v>2911.23</v>
      </c>
      <c r="T298" s="30">
        <f>804458</f>
        <v>804458</v>
      </c>
      <c r="U298" s="30">
        <f>213925</f>
        <v>213925</v>
      </c>
      <c r="V298" s="30">
        <f>2343406596</f>
        <v>2343406596</v>
      </c>
      <c r="W298" s="30">
        <f>631175292</f>
        <v>631175292</v>
      </c>
      <c r="X298" s="34">
        <f>22</f>
        <v>22</v>
      </c>
    </row>
    <row r="299" spans="1:24">
      <c r="A299" s="25" t="s">
        <v>1185</v>
      </c>
      <c r="B299" s="25" t="s">
        <v>635</v>
      </c>
      <c r="C299" s="25" t="s">
        <v>636</v>
      </c>
      <c r="D299" s="25" t="s">
        <v>637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874</f>
        <v>874</v>
      </c>
      <c r="L299" s="32" t="s">
        <v>1110</v>
      </c>
      <c r="M299" s="31">
        <f>883</f>
        <v>883</v>
      </c>
      <c r="N299" s="32" t="s">
        <v>678</v>
      </c>
      <c r="O299" s="31">
        <f>850</f>
        <v>850</v>
      </c>
      <c r="P299" s="32" t="s">
        <v>674</v>
      </c>
      <c r="Q299" s="31">
        <f>869</f>
        <v>869</v>
      </c>
      <c r="R299" s="32" t="s">
        <v>681</v>
      </c>
      <c r="S299" s="33">
        <f>866.45</f>
        <v>866.45</v>
      </c>
      <c r="T299" s="30">
        <f>395119</f>
        <v>395119</v>
      </c>
      <c r="U299" s="30">
        <f>75172</f>
        <v>75172</v>
      </c>
      <c r="V299" s="30">
        <f>340716162</f>
        <v>340716162</v>
      </c>
      <c r="W299" s="30">
        <f>64757486</f>
        <v>64757486</v>
      </c>
      <c r="X299" s="34">
        <f>22</f>
        <v>22</v>
      </c>
    </row>
    <row r="300" spans="1:24">
      <c r="A300" s="25" t="s">
        <v>1185</v>
      </c>
      <c r="B300" s="25" t="s">
        <v>638</v>
      </c>
      <c r="C300" s="25" t="s">
        <v>639</v>
      </c>
      <c r="D300" s="25" t="s">
        <v>640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10</v>
      </c>
      <c r="K300" s="31">
        <f>980.4</f>
        <v>980.4</v>
      </c>
      <c r="L300" s="32" t="s">
        <v>1110</v>
      </c>
      <c r="M300" s="31">
        <f>985</f>
        <v>985</v>
      </c>
      <c r="N300" s="32" t="s">
        <v>678</v>
      </c>
      <c r="O300" s="31">
        <f>954.1</f>
        <v>954.1</v>
      </c>
      <c r="P300" s="32" t="s">
        <v>876</v>
      </c>
      <c r="Q300" s="31">
        <f>971.5</f>
        <v>971.5</v>
      </c>
      <c r="R300" s="32" t="s">
        <v>681</v>
      </c>
      <c r="S300" s="33">
        <f>967.42</f>
        <v>967.42</v>
      </c>
      <c r="T300" s="30">
        <f>248410</f>
        <v>248410</v>
      </c>
      <c r="U300" s="30">
        <f>50000</f>
        <v>50000</v>
      </c>
      <c r="V300" s="30">
        <f>240793478</f>
        <v>240793478</v>
      </c>
      <c r="W300" s="30">
        <f>48353670</f>
        <v>48353670</v>
      </c>
      <c r="X300" s="34">
        <f>22</f>
        <v>22</v>
      </c>
    </row>
    <row r="301" spans="1:24">
      <c r="A301" s="25" t="s">
        <v>1185</v>
      </c>
      <c r="B301" s="25" t="s">
        <v>641</v>
      </c>
      <c r="C301" s="25" t="s">
        <v>642</v>
      </c>
      <c r="D301" s="25" t="s">
        <v>643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367.8</f>
        <v>367.8</v>
      </c>
      <c r="L301" s="32" t="s">
        <v>1110</v>
      </c>
      <c r="M301" s="31">
        <f>384.5</f>
        <v>384.5</v>
      </c>
      <c r="N301" s="32" t="s">
        <v>675</v>
      </c>
      <c r="O301" s="31">
        <f>346.9</f>
        <v>346.9</v>
      </c>
      <c r="P301" s="32" t="s">
        <v>883</v>
      </c>
      <c r="Q301" s="31">
        <f>358.9</f>
        <v>358.9</v>
      </c>
      <c r="R301" s="32" t="s">
        <v>681</v>
      </c>
      <c r="S301" s="33">
        <f>373.13</f>
        <v>373.13</v>
      </c>
      <c r="T301" s="30">
        <f>3710</f>
        <v>3710</v>
      </c>
      <c r="U301" s="30" t="str">
        <f>"－"</f>
        <v>－</v>
      </c>
      <c r="V301" s="30">
        <f>1368893</f>
        <v>1368893</v>
      </c>
      <c r="W301" s="30" t="str">
        <f>"－"</f>
        <v>－</v>
      </c>
      <c r="X301" s="34">
        <f>20</f>
        <v>20</v>
      </c>
    </row>
    <row r="302" spans="1:24">
      <c r="A302" s="25" t="s">
        <v>1185</v>
      </c>
      <c r="B302" s="25" t="s">
        <v>644</v>
      </c>
      <c r="C302" s="25" t="s">
        <v>645</v>
      </c>
      <c r="D302" s="25" t="s">
        <v>646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5461</f>
        <v>5461</v>
      </c>
      <c r="L302" s="32" t="s">
        <v>1110</v>
      </c>
      <c r="M302" s="31">
        <f>5738</f>
        <v>5738</v>
      </c>
      <c r="N302" s="32" t="s">
        <v>684</v>
      </c>
      <c r="O302" s="31">
        <f>4932</f>
        <v>4932</v>
      </c>
      <c r="P302" s="32" t="s">
        <v>681</v>
      </c>
      <c r="Q302" s="31">
        <f>5003</f>
        <v>5003</v>
      </c>
      <c r="R302" s="32" t="s">
        <v>681</v>
      </c>
      <c r="S302" s="33">
        <f>5398.59</f>
        <v>5398.59</v>
      </c>
      <c r="T302" s="30">
        <f>1360260</f>
        <v>1360260</v>
      </c>
      <c r="U302" s="30">
        <f>194020</f>
        <v>194020</v>
      </c>
      <c r="V302" s="30">
        <f>7273833349</f>
        <v>7273833349</v>
      </c>
      <c r="W302" s="30">
        <f>1029168149</f>
        <v>1029168149</v>
      </c>
      <c r="X302" s="34">
        <f>22</f>
        <v>22</v>
      </c>
    </row>
    <row r="303" spans="1:24">
      <c r="A303" s="25" t="s">
        <v>1185</v>
      </c>
      <c r="B303" s="25" t="s">
        <v>647</v>
      </c>
      <c r="C303" s="25" t="s">
        <v>648</v>
      </c>
      <c r="D303" s="25" t="s">
        <v>649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10</v>
      </c>
      <c r="K303" s="31">
        <f>3150</f>
        <v>3150</v>
      </c>
      <c r="L303" s="32" t="s">
        <v>1110</v>
      </c>
      <c r="M303" s="31">
        <f>3269</f>
        <v>3269</v>
      </c>
      <c r="N303" s="32" t="s">
        <v>684</v>
      </c>
      <c r="O303" s="31">
        <f>2981</f>
        <v>2981</v>
      </c>
      <c r="P303" s="32" t="s">
        <v>676</v>
      </c>
      <c r="Q303" s="31">
        <f>3013</f>
        <v>3013</v>
      </c>
      <c r="R303" s="32" t="s">
        <v>681</v>
      </c>
      <c r="S303" s="33">
        <f>3141.16</f>
        <v>3141.16</v>
      </c>
      <c r="T303" s="30">
        <f>3379860</f>
        <v>3379860</v>
      </c>
      <c r="U303" s="30">
        <f>1904220</f>
        <v>1904220</v>
      </c>
      <c r="V303" s="30">
        <f>10627331393</f>
        <v>10627331393</v>
      </c>
      <c r="W303" s="30">
        <f>5979856238</f>
        <v>5979856238</v>
      </c>
      <c r="X303" s="34">
        <f>22</f>
        <v>22</v>
      </c>
    </row>
    <row r="304" spans="1:24">
      <c r="A304" s="25" t="s">
        <v>1185</v>
      </c>
      <c r="B304" s="25" t="s">
        <v>650</v>
      </c>
      <c r="C304" s="25" t="s">
        <v>651</v>
      </c>
      <c r="D304" s="25" t="s">
        <v>652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10</v>
      </c>
      <c r="K304" s="31">
        <f>368.6</f>
        <v>368.6</v>
      </c>
      <c r="L304" s="32" t="s">
        <v>1110</v>
      </c>
      <c r="M304" s="31">
        <f>368.6</f>
        <v>368.6</v>
      </c>
      <c r="N304" s="32" t="s">
        <v>1110</v>
      </c>
      <c r="O304" s="31">
        <f>344.3</f>
        <v>344.3</v>
      </c>
      <c r="P304" s="32" t="s">
        <v>681</v>
      </c>
      <c r="Q304" s="31">
        <f>347.3</f>
        <v>347.3</v>
      </c>
      <c r="R304" s="32" t="s">
        <v>681</v>
      </c>
      <c r="S304" s="33">
        <f>358.09</f>
        <v>358.09</v>
      </c>
      <c r="T304" s="30">
        <f>13781050</f>
        <v>13781050</v>
      </c>
      <c r="U304" s="30">
        <f>6016520</f>
        <v>6016520</v>
      </c>
      <c r="V304" s="30">
        <f>4950949507</f>
        <v>4950949507</v>
      </c>
      <c r="W304" s="30">
        <f>2158191205</f>
        <v>2158191205</v>
      </c>
      <c r="X304" s="34">
        <f>22</f>
        <v>22</v>
      </c>
    </row>
    <row r="305" spans="1:24">
      <c r="A305" s="25" t="s">
        <v>1185</v>
      </c>
      <c r="B305" s="25" t="s">
        <v>653</v>
      </c>
      <c r="C305" s="25" t="s">
        <v>654</v>
      </c>
      <c r="D305" s="25" t="s">
        <v>655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1230</f>
        <v>1230</v>
      </c>
      <c r="L305" s="32" t="s">
        <v>1110</v>
      </c>
      <c r="M305" s="31">
        <f>1246</f>
        <v>1246</v>
      </c>
      <c r="N305" s="32" t="s">
        <v>682</v>
      </c>
      <c r="O305" s="31">
        <f>1207</f>
        <v>1207</v>
      </c>
      <c r="P305" s="32" t="s">
        <v>1116</v>
      </c>
      <c r="Q305" s="31">
        <f>1237</f>
        <v>1237</v>
      </c>
      <c r="R305" s="32" t="s">
        <v>681</v>
      </c>
      <c r="S305" s="33">
        <f>1228.91</f>
        <v>1228.9100000000001</v>
      </c>
      <c r="T305" s="30">
        <f>23792662</f>
        <v>23792662</v>
      </c>
      <c r="U305" s="30">
        <f>1852017</f>
        <v>1852017</v>
      </c>
      <c r="V305" s="30">
        <f>29190533122</f>
        <v>29190533122</v>
      </c>
      <c r="W305" s="30">
        <f>2268845568</f>
        <v>2268845568</v>
      </c>
      <c r="X305" s="34">
        <f>22</f>
        <v>22</v>
      </c>
    </row>
    <row r="306" spans="1:24">
      <c r="A306" s="25" t="s">
        <v>1185</v>
      </c>
      <c r="B306" s="25" t="s">
        <v>656</v>
      </c>
      <c r="C306" s="25" t="s">
        <v>657</v>
      </c>
      <c r="D306" s="25" t="s">
        <v>658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1763</f>
        <v>1763</v>
      </c>
      <c r="L306" s="32" t="s">
        <v>1110</v>
      </c>
      <c r="M306" s="31">
        <f>1773</f>
        <v>1773</v>
      </c>
      <c r="N306" s="32" t="s">
        <v>876</v>
      </c>
      <c r="O306" s="31">
        <f>1735</f>
        <v>1735</v>
      </c>
      <c r="P306" s="32" t="s">
        <v>1116</v>
      </c>
      <c r="Q306" s="31">
        <f>1758</f>
        <v>1758</v>
      </c>
      <c r="R306" s="32" t="s">
        <v>681</v>
      </c>
      <c r="S306" s="33">
        <f>1754.73</f>
        <v>1754.73</v>
      </c>
      <c r="T306" s="30">
        <f>35358</f>
        <v>35358</v>
      </c>
      <c r="U306" s="30" t="str">
        <f>"－"</f>
        <v>－</v>
      </c>
      <c r="V306" s="30">
        <f>62012916</f>
        <v>62012916</v>
      </c>
      <c r="W306" s="30" t="str">
        <f>"－"</f>
        <v>－</v>
      </c>
      <c r="X306" s="34">
        <f>22</f>
        <v>22</v>
      </c>
    </row>
    <row r="307" spans="1:24">
      <c r="A307" s="25" t="s">
        <v>1185</v>
      </c>
      <c r="B307" s="25" t="s">
        <v>659</v>
      </c>
      <c r="C307" s="25" t="s">
        <v>660</v>
      </c>
      <c r="D307" s="25" t="s">
        <v>661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2065</f>
        <v>2065</v>
      </c>
      <c r="L307" s="32" t="s">
        <v>1110</v>
      </c>
      <c r="M307" s="31">
        <f>2090</f>
        <v>2090</v>
      </c>
      <c r="N307" s="32" t="s">
        <v>682</v>
      </c>
      <c r="O307" s="31">
        <f>2050</f>
        <v>2050</v>
      </c>
      <c r="P307" s="32" t="s">
        <v>1116</v>
      </c>
      <c r="Q307" s="31">
        <f>2078</f>
        <v>2078</v>
      </c>
      <c r="R307" s="32" t="s">
        <v>681</v>
      </c>
      <c r="S307" s="33">
        <f>2067</f>
        <v>2067</v>
      </c>
      <c r="T307" s="30">
        <f>19239</f>
        <v>19239</v>
      </c>
      <c r="U307" s="30" t="str">
        <f>"－"</f>
        <v>－</v>
      </c>
      <c r="V307" s="30">
        <f>39740857</f>
        <v>39740857</v>
      </c>
      <c r="W307" s="30" t="str">
        <f>"－"</f>
        <v>－</v>
      </c>
      <c r="X307" s="34">
        <f>22</f>
        <v>22</v>
      </c>
    </row>
    <row r="308" spans="1:24">
      <c r="A308" s="25" t="s">
        <v>1185</v>
      </c>
      <c r="B308" s="25" t="s">
        <v>662</v>
      </c>
      <c r="C308" s="25" t="s">
        <v>663</v>
      </c>
      <c r="D308" s="25" t="s">
        <v>948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3995</f>
        <v>3995</v>
      </c>
      <c r="L308" s="32" t="s">
        <v>1110</v>
      </c>
      <c r="M308" s="31">
        <f>4255</f>
        <v>4255</v>
      </c>
      <c r="N308" s="32" t="s">
        <v>684</v>
      </c>
      <c r="O308" s="31">
        <f>3775</f>
        <v>3775</v>
      </c>
      <c r="P308" s="32" t="s">
        <v>676</v>
      </c>
      <c r="Q308" s="31">
        <f>3930</f>
        <v>3930</v>
      </c>
      <c r="R308" s="32" t="s">
        <v>681</v>
      </c>
      <c r="S308" s="33">
        <f>4025.91</f>
        <v>4025.91</v>
      </c>
      <c r="T308" s="30">
        <f>3245805</f>
        <v>3245805</v>
      </c>
      <c r="U308" s="30">
        <f>2744686</f>
        <v>2744686</v>
      </c>
      <c r="V308" s="30">
        <f>12747983705</f>
        <v>12747983705</v>
      </c>
      <c r="W308" s="30">
        <f>10708014860</f>
        <v>10708014860</v>
      </c>
      <c r="X308" s="34">
        <f>22</f>
        <v>22</v>
      </c>
    </row>
    <row r="309" spans="1:24">
      <c r="A309" s="25" t="s">
        <v>1185</v>
      </c>
      <c r="B309" s="25" t="s">
        <v>664</v>
      </c>
      <c r="C309" s="25" t="s">
        <v>665</v>
      </c>
      <c r="D309" s="25" t="s">
        <v>949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2865</f>
        <v>2865</v>
      </c>
      <c r="L309" s="32" t="s">
        <v>1110</v>
      </c>
      <c r="M309" s="31">
        <f>2950</f>
        <v>2950</v>
      </c>
      <c r="N309" s="32" t="s">
        <v>684</v>
      </c>
      <c r="O309" s="31">
        <f>2694</f>
        <v>2694</v>
      </c>
      <c r="P309" s="32" t="s">
        <v>676</v>
      </c>
      <c r="Q309" s="31">
        <f>2799</f>
        <v>2799</v>
      </c>
      <c r="R309" s="32" t="s">
        <v>681</v>
      </c>
      <c r="S309" s="33">
        <f>2849.23</f>
        <v>2849.23</v>
      </c>
      <c r="T309" s="30">
        <f>6495046</f>
        <v>6495046</v>
      </c>
      <c r="U309" s="30">
        <f>5845941</f>
        <v>5845941</v>
      </c>
      <c r="V309" s="30">
        <f>18006722220</f>
        <v>18006722220</v>
      </c>
      <c r="W309" s="30">
        <f>16160349302</f>
        <v>16160349302</v>
      </c>
      <c r="X309" s="34">
        <f>22</f>
        <v>22</v>
      </c>
    </row>
    <row r="310" spans="1:24">
      <c r="A310" s="25" t="s">
        <v>1185</v>
      </c>
      <c r="B310" s="25" t="s">
        <v>666</v>
      </c>
      <c r="C310" s="25" t="s">
        <v>667</v>
      </c>
      <c r="D310" s="25" t="s">
        <v>668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2269</f>
        <v>2269</v>
      </c>
      <c r="L310" s="32" t="s">
        <v>1110</v>
      </c>
      <c r="M310" s="31">
        <f>2393</f>
        <v>2393</v>
      </c>
      <c r="N310" s="32" t="s">
        <v>684</v>
      </c>
      <c r="O310" s="31">
        <f>2191</f>
        <v>2191</v>
      </c>
      <c r="P310" s="32" t="s">
        <v>676</v>
      </c>
      <c r="Q310" s="31">
        <f>2236</f>
        <v>2236</v>
      </c>
      <c r="R310" s="32" t="s">
        <v>681</v>
      </c>
      <c r="S310" s="33">
        <f>2303.91</f>
        <v>2303.91</v>
      </c>
      <c r="T310" s="30">
        <f>25690</f>
        <v>25690</v>
      </c>
      <c r="U310" s="30">
        <f>6</f>
        <v>6</v>
      </c>
      <c r="V310" s="30">
        <f>59925892</f>
        <v>59925892</v>
      </c>
      <c r="W310" s="30">
        <f>14060</f>
        <v>14060</v>
      </c>
      <c r="X310" s="34">
        <f>22</f>
        <v>22</v>
      </c>
    </row>
    <row r="311" spans="1:24">
      <c r="A311" s="25" t="s">
        <v>1185</v>
      </c>
      <c r="B311" s="25" t="s">
        <v>669</v>
      </c>
      <c r="C311" s="25" t="s">
        <v>670</v>
      </c>
      <c r="D311" s="25" t="s">
        <v>671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1294</f>
        <v>1294</v>
      </c>
      <c r="L311" s="32" t="s">
        <v>1110</v>
      </c>
      <c r="M311" s="31">
        <f>1375</f>
        <v>1375</v>
      </c>
      <c r="N311" s="32" t="s">
        <v>760</v>
      </c>
      <c r="O311" s="31">
        <f>1268</f>
        <v>1268</v>
      </c>
      <c r="P311" s="32" t="s">
        <v>1116</v>
      </c>
      <c r="Q311" s="31">
        <f>1302</f>
        <v>1302</v>
      </c>
      <c r="R311" s="32" t="s">
        <v>681</v>
      </c>
      <c r="S311" s="33">
        <f>1318.32</f>
        <v>1318.32</v>
      </c>
      <c r="T311" s="30">
        <f>85003</f>
        <v>85003</v>
      </c>
      <c r="U311" s="30" t="str">
        <f>"－"</f>
        <v>－</v>
      </c>
      <c r="V311" s="30">
        <f>112503552</f>
        <v>112503552</v>
      </c>
      <c r="W311" s="30" t="str">
        <f>"－"</f>
        <v>－</v>
      </c>
      <c r="X311" s="34">
        <f>22</f>
        <v>22</v>
      </c>
    </row>
    <row r="312" spans="1:24">
      <c r="A312" s="25" t="s">
        <v>1185</v>
      </c>
      <c r="B312" s="25" t="s">
        <v>687</v>
      </c>
      <c r="C312" s="25" t="s">
        <v>688</v>
      </c>
      <c r="D312" s="25" t="s">
        <v>689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1603</f>
        <v>1603</v>
      </c>
      <c r="L312" s="32" t="s">
        <v>1110</v>
      </c>
      <c r="M312" s="31">
        <f>1654</f>
        <v>1654</v>
      </c>
      <c r="N312" s="32" t="s">
        <v>874</v>
      </c>
      <c r="O312" s="31">
        <f>1513</f>
        <v>1513</v>
      </c>
      <c r="P312" s="32" t="s">
        <v>777</v>
      </c>
      <c r="Q312" s="31">
        <f>1593</f>
        <v>1593</v>
      </c>
      <c r="R312" s="32" t="s">
        <v>681</v>
      </c>
      <c r="S312" s="33">
        <f>1585.09</f>
        <v>1585.09</v>
      </c>
      <c r="T312" s="30">
        <f>46250</f>
        <v>46250</v>
      </c>
      <c r="U312" s="30" t="str">
        <f>"－"</f>
        <v>－</v>
      </c>
      <c r="V312" s="30">
        <f>73080725</f>
        <v>73080725</v>
      </c>
      <c r="W312" s="30" t="str">
        <f>"－"</f>
        <v>－</v>
      </c>
      <c r="X312" s="34">
        <f>22</f>
        <v>22</v>
      </c>
    </row>
    <row r="313" spans="1:24">
      <c r="A313" s="25" t="s">
        <v>1185</v>
      </c>
      <c r="B313" s="25" t="s">
        <v>690</v>
      </c>
      <c r="C313" s="25" t="s">
        <v>691</v>
      </c>
      <c r="D313" s="25" t="s">
        <v>692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2562</f>
        <v>2562</v>
      </c>
      <c r="L313" s="32" t="s">
        <v>1110</v>
      </c>
      <c r="M313" s="31">
        <f>2612</f>
        <v>2612</v>
      </c>
      <c r="N313" s="32" t="s">
        <v>760</v>
      </c>
      <c r="O313" s="31">
        <f>2324</f>
        <v>2324</v>
      </c>
      <c r="P313" s="32" t="s">
        <v>679</v>
      </c>
      <c r="Q313" s="31">
        <f>2351</f>
        <v>2351</v>
      </c>
      <c r="R313" s="32" t="s">
        <v>681</v>
      </c>
      <c r="S313" s="33">
        <f>2488</f>
        <v>2488</v>
      </c>
      <c r="T313" s="30">
        <f>2860</f>
        <v>2860</v>
      </c>
      <c r="U313" s="30" t="str">
        <f>"－"</f>
        <v>－</v>
      </c>
      <c r="V313" s="30">
        <f>7206936</f>
        <v>7206936</v>
      </c>
      <c r="W313" s="30" t="str">
        <f>"－"</f>
        <v>－</v>
      </c>
      <c r="X313" s="34">
        <f>22</f>
        <v>22</v>
      </c>
    </row>
    <row r="314" spans="1:24">
      <c r="A314" s="25" t="s">
        <v>1185</v>
      </c>
      <c r="B314" s="25" t="s">
        <v>693</v>
      </c>
      <c r="C314" s="25" t="s">
        <v>694</v>
      </c>
      <c r="D314" s="25" t="s">
        <v>695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12510</f>
        <v>12510</v>
      </c>
      <c r="L314" s="32" t="s">
        <v>1110</v>
      </c>
      <c r="M314" s="31">
        <f>12910</f>
        <v>12910</v>
      </c>
      <c r="N314" s="32" t="s">
        <v>682</v>
      </c>
      <c r="O314" s="31">
        <f>12325</f>
        <v>12325</v>
      </c>
      <c r="P314" s="32" t="s">
        <v>676</v>
      </c>
      <c r="Q314" s="31">
        <f>12455</f>
        <v>12455</v>
      </c>
      <c r="R314" s="32" t="s">
        <v>681</v>
      </c>
      <c r="S314" s="33">
        <f>12626.82</f>
        <v>12626.82</v>
      </c>
      <c r="T314" s="30">
        <f>296255</f>
        <v>296255</v>
      </c>
      <c r="U314" s="30">
        <f>66013</f>
        <v>66013</v>
      </c>
      <c r="V314" s="30">
        <f>3726540113</f>
        <v>3726540113</v>
      </c>
      <c r="W314" s="30">
        <f>818603113</f>
        <v>818603113</v>
      </c>
      <c r="X314" s="34">
        <f>22</f>
        <v>22</v>
      </c>
    </row>
    <row r="315" spans="1:24">
      <c r="A315" s="25" t="s">
        <v>1185</v>
      </c>
      <c r="B315" s="25" t="s">
        <v>696</v>
      </c>
      <c r="C315" s="25" t="s">
        <v>697</v>
      </c>
      <c r="D315" s="25" t="s">
        <v>698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22745</f>
        <v>22745</v>
      </c>
      <c r="L315" s="32" t="s">
        <v>1110</v>
      </c>
      <c r="M315" s="31">
        <f>23975</f>
        <v>23975</v>
      </c>
      <c r="N315" s="32" t="s">
        <v>684</v>
      </c>
      <c r="O315" s="31">
        <f>20610</f>
        <v>20610</v>
      </c>
      <c r="P315" s="32" t="s">
        <v>681</v>
      </c>
      <c r="Q315" s="31">
        <f>20915</f>
        <v>20915</v>
      </c>
      <c r="R315" s="32" t="s">
        <v>681</v>
      </c>
      <c r="S315" s="33">
        <f>22510.68</f>
        <v>22510.68</v>
      </c>
      <c r="T315" s="30">
        <f>529588</f>
        <v>529588</v>
      </c>
      <c r="U315" s="30">
        <f>27585</f>
        <v>27585</v>
      </c>
      <c r="V315" s="30">
        <f>11854907274</f>
        <v>11854907274</v>
      </c>
      <c r="W315" s="30">
        <f>609098654</f>
        <v>609098654</v>
      </c>
      <c r="X315" s="34">
        <f>22</f>
        <v>22</v>
      </c>
    </row>
    <row r="316" spans="1:24">
      <c r="A316" s="25" t="s">
        <v>1185</v>
      </c>
      <c r="B316" s="25" t="s">
        <v>699</v>
      </c>
      <c r="C316" s="25" t="s">
        <v>700</v>
      </c>
      <c r="D316" s="25" t="s">
        <v>701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13105</f>
        <v>13105</v>
      </c>
      <c r="L316" s="32" t="s">
        <v>1110</v>
      </c>
      <c r="M316" s="31">
        <f>13705</f>
        <v>13705</v>
      </c>
      <c r="N316" s="32" t="s">
        <v>684</v>
      </c>
      <c r="O316" s="31">
        <f>12505</f>
        <v>12505</v>
      </c>
      <c r="P316" s="32" t="s">
        <v>676</v>
      </c>
      <c r="Q316" s="31">
        <f>12635</f>
        <v>12635</v>
      </c>
      <c r="R316" s="32" t="s">
        <v>681</v>
      </c>
      <c r="S316" s="33">
        <f>13172.73</f>
        <v>13172.73</v>
      </c>
      <c r="T316" s="30">
        <f>380132</f>
        <v>380132</v>
      </c>
      <c r="U316" s="30">
        <f>180323</f>
        <v>180323</v>
      </c>
      <c r="V316" s="30">
        <f>5020434784</f>
        <v>5020434784</v>
      </c>
      <c r="W316" s="30">
        <f>2393578509</f>
        <v>2393578509</v>
      </c>
      <c r="X316" s="34">
        <f>22</f>
        <v>22</v>
      </c>
    </row>
    <row r="317" spans="1:24">
      <c r="A317" s="25" t="s">
        <v>1185</v>
      </c>
      <c r="B317" s="25" t="s">
        <v>702</v>
      </c>
      <c r="C317" s="25" t="s">
        <v>703</v>
      </c>
      <c r="D317" s="25" t="s">
        <v>704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10</v>
      </c>
      <c r="K317" s="31">
        <f>407</f>
        <v>407</v>
      </c>
      <c r="L317" s="32" t="s">
        <v>1110</v>
      </c>
      <c r="M317" s="31">
        <f>421.2</f>
        <v>421.2</v>
      </c>
      <c r="N317" s="32" t="s">
        <v>684</v>
      </c>
      <c r="O317" s="31">
        <f>382.2</f>
        <v>382.2</v>
      </c>
      <c r="P317" s="32" t="s">
        <v>681</v>
      </c>
      <c r="Q317" s="31">
        <f>386.7</f>
        <v>386.7</v>
      </c>
      <c r="R317" s="32" t="s">
        <v>681</v>
      </c>
      <c r="S317" s="33">
        <f>404.41</f>
        <v>404.41</v>
      </c>
      <c r="T317" s="30">
        <f>20390050</f>
        <v>20390050</v>
      </c>
      <c r="U317" s="30">
        <f>5385470</f>
        <v>5385470</v>
      </c>
      <c r="V317" s="30">
        <f>8247744242</f>
        <v>8247744242</v>
      </c>
      <c r="W317" s="30">
        <f>2218893904</f>
        <v>2218893904</v>
      </c>
      <c r="X317" s="34">
        <f>22</f>
        <v>22</v>
      </c>
    </row>
    <row r="318" spans="1:24">
      <c r="A318" s="25" t="s">
        <v>1185</v>
      </c>
      <c r="B318" s="25" t="s">
        <v>705</v>
      </c>
      <c r="C318" s="25" t="s">
        <v>706</v>
      </c>
      <c r="D318" s="25" t="s">
        <v>707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10</v>
      </c>
      <c r="K318" s="31">
        <f>2475</f>
        <v>2475</v>
      </c>
      <c r="L318" s="32" t="s">
        <v>1110</v>
      </c>
      <c r="M318" s="31">
        <f>2542.5</f>
        <v>2542.5</v>
      </c>
      <c r="N318" s="32" t="s">
        <v>682</v>
      </c>
      <c r="O318" s="31">
        <f>2427.5</f>
        <v>2427.5</v>
      </c>
      <c r="P318" s="32" t="s">
        <v>676</v>
      </c>
      <c r="Q318" s="31">
        <f>2453</f>
        <v>2453</v>
      </c>
      <c r="R318" s="32" t="s">
        <v>681</v>
      </c>
      <c r="S318" s="33">
        <f>2487.48</f>
        <v>2487.48</v>
      </c>
      <c r="T318" s="30">
        <f>2209330</f>
        <v>2209330</v>
      </c>
      <c r="U318" s="30">
        <f>1593120</f>
        <v>1593120</v>
      </c>
      <c r="V318" s="30">
        <f>5496362358</f>
        <v>5496362358</v>
      </c>
      <c r="W318" s="30">
        <f>3968098698</f>
        <v>3968098698</v>
      </c>
      <c r="X318" s="34">
        <f>22</f>
        <v>22</v>
      </c>
    </row>
    <row r="319" spans="1:24">
      <c r="A319" s="25" t="s">
        <v>1185</v>
      </c>
      <c r="B319" s="25" t="s">
        <v>708</v>
      </c>
      <c r="C319" s="25" t="s">
        <v>709</v>
      </c>
      <c r="D319" s="25" t="s">
        <v>710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10</v>
      </c>
      <c r="K319" s="31">
        <f>4326</f>
        <v>4326</v>
      </c>
      <c r="L319" s="32" t="s">
        <v>1110</v>
      </c>
      <c r="M319" s="31">
        <f>4427</f>
        <v>4427</v>
      </c>
      <c r="N319" s="32" t="s">
        <v>684</v>
      </c>
      <c r="O319" s="31">
        <f>4000</f>
        <v>4000</v>
      </c>
      <c r="P319" s="32" t="s">
        <v>681</v>
      </c>
      <c r="Q319" s="31">
        <f>4032</f>
        <v>4032</v>
      </c>
      <c r="R319" s="32" t="s">
        <v>681</v>
      </c>
      <c r="S319" s="33">
        <f>4224.59</f>
        <v>4224.59</v>
      </c>
      <c r="T319" s="30">
        <f>225660</f>
        <v>225660</v>
      </c>
      <c r="U319" s="30">
        <f>70000</f>
        <v>70000</v>
      </c>
      <c r="V319" s="30">
        <f>933691690</f>
        <v>933691690</v>
      </c>
      <c r="W319" s="30">
        <f>300587000</f>
        <v>300587000</v>
      </c>
      <c r="X319" s="34">
        <f>22</f>
        <v>22</v>
      </c>
    </row>
    <row r="320" spans="1:24">
      <c r="A320" s="25" t="s">
        <v>1185</v>
      </c>
      <c r="B320" s="25" t="s">
        <v>711</v>
      </c>
      <c r="C320" s="25" t="s">
        <v>712</v>
      </c>
      <c r="D320" s="25" t="s">
        <v>713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3485</f>
        <v>3485</v>
      </c>
      <c r="L320" s="32" t="s">
        <v>1110</v>
      </c>
      <c r="M320" s="31">
        <f>3690</f>
        <v>3690</v>
      </c>
      <c r="N320" s="32" t="s">
        <v>684</v>
      </c>
      <c r="O320" s="31">
        <f>3255</f>
        <v>3255</v>
      </c>
      <c r="P320" s="32" t="s">
        <v>676</v>
      </c>
      <c r="Q320" s="31">
        <f>3340</f>
        <v>3340</v>
      </c>
      <c r="R320" s="32" t="s">
        <v>681</v>
      </c>
      <c r="S320" s="33">
        <f>3488.18</f>
        <v>3488.18</v>
      </c>
      <c r="T320" s="30">
        <f>1258719</f>
        <v>1258719</v>
      </c>
      <c r="U320" s="30">
        <f>1033570</f>
        <v>1033570</v>
      </c>
      <c r="V320" s="30">
        <f>4400405214</f>
        <v>4400405214</v>
      </c>
      <c r="W320" s="30">
        <f>3582473189</f>
        <v>3582473189</v>
      </c>
      <c r="X320" s="34">
        <f>22</f>
        <v>22</v>
      </c>
    </row>
    <row r="321" spans="1:24">
      <c r="A321" s="25" t="s">
        <v>1185</v>
      </c>
      <c r="B321" s="25" t="s">
        <v>714</v>
      </c>
      <c r="C321" s="25" t="s">
        <v>1035</v>
      </c>
      <c r="D321" s="25" t="s">
        <v>1034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1735</f>
        <v>1735</v>
      </c>
      <c r="L321" s="32" t="s">
        <v>1110</v>
      </c>
      <c r="M321" s="31">
        <f>1790</f>
        <v>1790</v>
      </c>
      <c r="N321" s="32" t="s">
        <v>682</v>
      </c>
      <c r="O321" s="31">
        <f>1642</f>
        <v>1642</v>
      </c>
      <c r="P321" s="32" t="s">
        <v>679</v>
      </c>
      <c r="Q321" s="31">
        <f>1675</f>
        <v>1675</v>
      </c>
      <c r="R321" s="32" t="s">
        <v>681</v>
      </c>
      <c r="S321" s="33">
        <f>1728.45</f>
        <v>1728.45</v>
      </c>
      <c r="T321" s="30">
        <f>258597</f>
        <v>258597</v>
      </c>
      <c r="U321" s="30" t="str">
        <f>"－"</f>
        <v>－</v>
      </c>
      <c r="V321" s="30">
        <f>455871336</f>
        <v>455871336</v>
      </c>
      <c r="W321" s="30" t="str">
        <f>"－"</f>
        <v>－</v>
      </c>
      <c r="X321" s="34">
        <f>22</f>
        <v>22</v>
      </c>
    </row>
    <row r="322" spans="1:24">
      <c r="A322" s="25" t="s">
        <v>1185</v>
      </c>
      <c r="B322" s="25" t="s">
        <v>715</v>
      </c>
      <c r="C322" s="25" t="s">
        <v>716</v>
      </c>
      <c r="D322" s="25" t="s">
        <v>717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2066</f>
        <v>2066</v>
      </c>
      <c r="L322" s="32" t="s">
        <v>1110</v>
      </c>
      <c r="M322" s="31">
        <f>2483</f>
        <v>2483</v>
      </c>
      <c r="N322" s="32" t="s">
        <v>681</v>
      </c>
      <c r="O322" s="31">
        <f>1932</f>
        <v>1932</v>
      </c>
      <c r="P322" s="32" t="s">
        <v>679</v>
      </c>
      <c r="Q322" s="31">
        <f>2483</f>
        <v>2483</v>
      </c>
      <c r="R322" s="32" t="s">
        <v>681</v>
      </c>
      <c r="S322" s="33">
        <f>2076.27</f>
        <v>2076.27</v>
      </c>
      <c r="T322" s="30">
        <f>614309</f>
        <v>614309</v>
      </c>
      <c r="U322" s="30">
        <f>285510</f>
        <v>285510</v>
      </c>
      <c r="V322" s="30">
        <f>1241539118</f>
        <v>1241539118</v>
      </c>
      <c r="W322" s="30">
        <f>554274556</f>
        <v>554274556</v>
      </c>
      <c r="X322" s="34">
        <f>22</f>
        <v>22</v>
      </c>
    </row>
    <row r="323" spans="1:24">
      <c r="A323" s="25" t="s">
        <v>1185</v>
      </c>
      <c r="B323" s="25" t="s">
        <v>718</v>
      </c>
      <c r="C323" s="25" t="s">
        <v>719</v>
      </c>
      <c r="D323" s="25" t="s">
        <v>720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1660</f>
        <v>1660</v>
      </c>
      <c r="L323" s="32" t="s">
        <v>1110</v>
      </c>
      <c r="M323" s="31">
        <f>1742</f>
        <v>1742</v>
      </c>
      <c r="N323" s="32" t="s">
        <v>678</v>
      </c>
      <c r="O323" s="31">
        <f>1633</f>
        <v>1633</v>
      </c>
      <c r="P323" s="32" t="s">
        <v>1110</v>
      </c>
      <c r="Q323" s="31">
        <f>1707</f>
        <v>1707</v>
      </c>
      <c r="R323" s="32" t="s">
        <v>681</v>
      </c>
      <c r="S323" s="33">
        <f>1692.18</f>
        <v>1692.18</v>
      </c>
      <c r="T323" s="30">
        <f>90793</f>
        <v>90793</v>
      </c>
      <c r="U323" s="30" t="str">
        <f>"－"</f>
        <v>－</v>
      </c>
      <c r="V323" s="30">
        <f>152772196</f>
        <v>152772196</v>
      </c>
      <c r="W323" s="30" t="str">
        <f>"－"</f>
        <v>－</v>
      </c>
      <c r="X323" s="34">
        <f>22</f>
        <v>22</v>
      </c>
    </row>
    <row r="324" spans="1:24">
      <c r="A324" s="25" t="s">
        <v>1185</v>
      </c>
      <c r="B324" s="25" t="s">
        <v>721</v>
      </c>
      <c r="C324" s="25" t="s">
        <v>722</v>
      </c>
      <c r="D324" s="25" t="s">
        <v>723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</v>
      </c>
      <c r="K324" s="31">
        <f>3030</f>
        <v>3030</v>
      </c>
      <c r="L324" s="32" t="s">
        <v>1110</v>
      </c>
      <c r="M324" s="31">
        <f>3215</f>
        <v>3215</v>
      </c>
      <c r="N324" s="32" t="s">
        <v>678</v>
      </c>
      <c r="O324" s="31">
        <f>2995</f>
        <v>2995</v>
      </c>
      <c r="P324" s="32" t="s">
        <v>676</v>
      </c>
      <c r="Q324" s="31">
        <f>3080</f>
        <v>3080</v>
      </c>
      <c r="R324" s="32" t="s">
        <v>681</v>
      </c>
      <c r="S324" s="33">
        <f>3094.55</f>
        <v>3094.55</v>
      </c>
      <c r="T324" s="30">
        <f>62700</f>
        <v>62700</v>
      </c>
      <c r="U324" s="30">
        <f>29</f>
        <v>29</v>
      </c>
      <c r="V324" s="30">
        <f>195104435</f>
        <v>195104435</v>
      </c>
      <c r="W324" s="30">
        <f>88645</f>
        <v>88645</v>
      </c>
      <c r="X324" s="34">
        <f>22</f>
        <v>22</v>
      </c>
    </row>
    <row r="325" spans="1:24">
      <c r="A325" s="25" t="s">
        <v>1185</v>
      </c>
      <c r="B325" s="25" t="s">
        <v>724</v>
      </c>
      <c r="C325" s="25" t="s">
        <v>1033</v>
      </c>
      <c r="D325" s="25" t="s">
        <v>1032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</v>
      </c>
      <c r="K325" s="31">
        <f>3290</f>
        <v>3290</v>
      </c>
      <c r="L325" s="32" t="s">
        <v>1110</v>
      </c>
      <c r="M325" s="31">
        <f>3445</f>
        <v>3445</v>
      </c>
      <c r="N325" s="32" t="s">
        <v>684</v>
      </c>
      <c r="O325" s="31">
        <f>3040</f>
        <v>3040</v>
      </c>
      <c r="P325" s="32" t="s">
        <v>676</v>
      </c>
      <c r="Q325" s="31">
        <f>3140</f>
        <v>3140</v>
      </c>
      <c r="R325" s="32" t="s">
        <v>681</v>
      </c>
      <c r="S325" s="33">
        <f>3280.23</f>
        <v>3280.23</v>
      </c>
      <c r="T325" s="30">
        <f>444005</f>
        <v>444005</v>
      </c>
      <c r="U325" s="30">
        <f>2906</f>
        <v>2906</v>
      </c>
      <c r="V325" s="30">
        <f>1431052460</f>
        <v>1431052460</v>
      </c>
      <c r="W325" s="30">
        <f>9612980</f>
        <v>9612980</v>
      </c>
      <c r="X325" s="34">
        <f>22</f>
        <v>22</v>
      </c>
    </row>
    <row r="326" spans="1:24">
      <c r="A326" s="25" t="s">
        <v>1185</v>
      </c>
      <c r="B326" s="25" t="s">
        <v>725</v>
      </c>
      <c r="C326" s="25" t="s">
        <v>726</v>
      </c>
      <c r="D326" s="25" t="s">
        <v>727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</v>
      </c>
      <c r="K326" s="31">
        <f>37710</f>
        <v>37710</v>
      </c>
      <c r="L326" s="32" t="s">
        <v>1110</v>
      </c>
      <c r="M326" s="31">
        <f>38770</f>
        <v>38770</v>
      </c>
      <c r="N326" s="32" t="s">
        <v>684</v>
      </c>
      <c r="O326" s="31">
        <f>35640</f>
        <v>35640</v>
      </c>
      <c r="P326" s="32" t="s">
        <v>676</v>
      </c>
      <c r="Q326" s="31">
        <f>36740</f>
        <v>36740</v>
      </c>
      <c r="R326" s="32" t="s">
        <v>681</v>
      </c>
      <c r="S326" s="33">
        <f>37578.95</f>
        <v>37578.949999999997</v>
      </c>
      <c r="T326" s="30">
        <f>240</f>
        <v>240</v>
      </c>
      <c r="U326" s="30" t="str">
        <f>"－"</f>
        <v>－</v>
      </c>
      <c r="V326" s="30">
        <f>8991640</f>
        <v>8991640</v>
      </c>
      <c r="W326" s="30" t="str">
        <f>"－"</f>
        <v>－</v>
      </c>
      <c r="X326" s="34">
        <f>19</f>
        <v>19</v>
      </c>
    </row>
    <row r="327" spans="1:24">
      <c r="A327" s="25" t="s">
        <v>1185</v>
      </c>
      <c r="B327" s="25" t="s">
        <v>728</v>
      </c>
      <c r="C327" s="25" t="s">
        <v>729</v>
      </c>
      <c r="D327" s="25" t="s">
        <v>730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2988</f>
        <v>2988</v>
      </c>
      <c r="L327" s="32" t="s">
        <v>1110</v>
      </c>
      <c r="M327" s="31">
        <f>3135</f>
        <v>3135</v>
      </c>
      <c r="N327" s="32" t="s">
        <v>684</v>
      </c>
      <c r="O327" s="31">
        <f>2813</f>
        <v>2813</v>
      </c>
      <c r="P327" s="32" t="s">
        <v>676</v>
      </c>
      <c r="Q327" s="31">
        <f>2850</f>
        <v>2850</v>
      </c>
      <c r="R327" s="32" t="s">
        <v>681</v>
      </c>
      <c r="S327" s="33">
        <f>2996.15</f>
        <v>2996.15</v>
      </c>
      <c r="T327" s="30">
        <f>19099</f>
        <v>19099</v>
      </c>
      <c r="U327" s="30" t="str">
        <f>"－"</f>
        <v>－</v>
      </c>
      <c r="V327" s="30">
        <f>58153027</f>
        <v>58153027</v>
      </c>
      <c r="W327" s="30" t="str">
        <f>"－"</f>
        <v>－</v>
      </c>
      <c r="X327" s="34">
        <f>20</f>
        <v>20</v>
      </c>
    </row>
    <row r="328" spans="1:24">
      <c r="A328" s="25" t="s">
        <v>1185</v>
      </c>
      <c r="B328" s="25" t="s">
        <v>731</v>
      </c>
      <c r="C328" s="25" t="s">
        <v>732</v>
      </c>
      <c r="D328" s="25" t="s">
        <v>733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4855</f>
        <v>4855</v>
      </c>
      <c r="L328" s="32" t="s">
        <v>1110</v>
      </c>
      <c r="M328" s="31">
        <f>5230</f>
        <v>5230</v>
      </c>
      <c r="N328" s="32" t="s">
        <v>684</v>
      </c>
      <c r="O328" s="31">
        <f>3900</f>
        <v>3900</v>
      </c>
      <c r="P328" s="32" t="s">
        <v>681</v>
      </c>
      <c r="Q328" s="31">
        <f>4205</f>
        <v>4205</v>
      </c>
      <c r="R328" s="32" t="s">
        <v>681</v>
      </c>
      <c r="S328" s="33">
        <f>4656.82</f>
        <v>4656.82</v>
      </c>
      <c r="T328" s="30">
        <f>17442243</f>
        <v>17442243</v>
      </c>
      <c r="U328" s="30">
        <f>2538224</f>
        <v>2538224</v>
      </c>
      <c r="V328" s="30">
        <f>80681342210</f>
        <v>80681342210</v>
      </c>
      <c r="W328" s="30">
        <f>11930942995</f>
        <v>11930942995</v>
      </c>
      <c r="X328" s="34">
        <f>22</f>
        <v>22</v>
      </c>
    </row>
    <row r="329" spans="1:24">
      <c r="A329" s="25" t="s">
        <v>1185</v>
      </c>
      <c r="B329" s="25" t="s">
        <v>734</v>
      </c>
      <c r="C329" s="25" t="s">
        <v>735</v>
      </c>
      <c r="D329" s="25" t="s">
        <v>736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2129</f>
        <v>2129</v>
      </c>
      <c r="L329" s="32" t="s">
        <v>1110</v>
      </c>
      <c r="M329" s="31">
        <f>2225</f>
        <v>2225</v>
      </c>
      <c r="N329" s="32" t="s">
        <v>760</v>
      </c>
      <c r="O329" s="31">
        <f>2095</f>
        <v>2095</v>
      </c>
      <c r="P329" s="32" t="s">
        <v>676</v>
      </c>
      <c r="Q329" s="31">
        <f>2131</f>
        <v>2131</v>
      </c>
      <c r="R329" s="32" t="s">
        <v>681</v>
      </c>
      <c r="S329" s="33">
        <f>2163.18</f>
        <v>2163.1799999999998</v>
      </c>
      <c r="T329" s="30">
        <f>29495</f>
        <v>29495</v>
      </c>
      <c r="U329" s="30" t="str">
        <f>"－"</f>
        <v>－</v>
      </c>
      <c r="V329" s="30">
        <f>64395551</f>
        <v>64395551</v>
      </c>
      <c r="W329" s="30" t="str">
        <f>"－"</f>
        <v>－</v>
      </c>
      <c r="X329" s="34">
        <f>22</f>
        <v>22</v>
      </c>
    </row>
    <row r="330" spans="1:24">
      <c r="A330" s="25" t="s">
        <v>1185</v>
      </c>
      <c r="B330" s="25" t="s">
        <v>737</v>
      </c>
      <c r="C330" s="25" t="s">
        <v>738</v>
      </c>
      <c r="D330" s="25" t="s">
        <v>739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1927</f>
        <v>1927</v>
      </c>
      <c r="L330" s="32" t="s">
        <v>1110</v>
      </c>
      <c r="M330" s="31">
        <f>1989</f>
        <v>1989</v>
      </c>
      <c r="N330" s="32" t="s">
        <v>675</v>
      </c>
      <c r="O330" s="31">
        <f>1788</f>
        <v>1788</v>
      </c>
      <c r="P330" s="32" t="s">
        <v>676</v>
      </c>
      <c r="Q330" s="31">
        <f>1832</f>
        <v>1832</v>
      </c>
      <c r="R330" s="32" t="s">
        <v>681</v>
      </c>
      <c r="S330" s="33">
        <f>1906.82</f>
        <v>1906.82</v>
      </c>
      <c r="T330" s="30">
        <f>118300</f>
        <v>118300</v>
      </c>
      <c r="U330" s="30" t="str">
        <f>"－"</f>
        <v>－</v>
      </c>
      <c r="V330" s="30">
        <f>230622611</f>
        <v>230622611</v>
      </c>
      <c r="W330" s="30" t="str">
        <f>"－"</f>
        <v>－</v>
      </c>
      <c r="X330" s="34">
        <f>22</f>
        <v>22</v>
      </c>
    </row>
    <row r="331" spans="1:24">
      <c r="A331" s="25" t="s">
        <v>1185</v>
      </c>
      <c r="B331" s="25" t="s">
        <v>740</v>
      </c>
      <c r="C331" s="25" t="s">
        <v>741</v>
      </c>
      <c r="D331" s="25" t="s">
        <v>742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10</v>
      </c>
      <c r="K331" s="31">
        <f>5931</f>
        <v>5931</v>
      </c>
      <c r="L331" s="32" t="s">
        <v>1110</v>
      </c>
      <c r="M331" s="31">
        <f>5965</f>
        <v>5965</v>
      </c>
      <c r="N331" s="32" t="s">
        <v>759</v>
      </c>
      <c r="O331" s="31">
        <f>5699</f>
        <v>5699</v>
      </c>
      <c r="P331" s="32" t="s">
        <v>679</v>
      </c>
      <c r="Q331" s="31">
        <f>5714</f>
        <v>5714</v>
      </c>
      <c r="R331" s="32" t="s">
        <v>681</v>
      </c>
      <c r="S331" s="33">
        <f>5841.5</f>
        <v>5841.5</v>
      </c>
      <c r="T331" s="30">
        <f>8380</f>
        <v>8380</v>
      </c>
      <c r="U331" s="30">
        <f>3500</f>
        <v>3500</v>
      </c>
      <c r="V331" s="30">
        <f>49179706</f>
        <v>49179706</v>
      </c>
      <c r="W331" s="30">
        <f>20554276</f>
        <v>20554276</v>
      </c>
      <c r="X331" s="34">
        <f>18</f>
        <v>18</v>
      </c>
    </row>
    <row r="332" spans="1:24">
      <c r="A332" s="25" t="s">
        <v>1185</v>
      </c>
      <c r="B332" s="25" t="s">
        <v>743</v>
      </c>
      <c r="C332" s="25" t="s">
        <v>744</v>
      </c>
      <c r="D332" s="25" t="s">
        <v>745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10</v>
      </c>
      <c r="K332" s="31">
        <f>3668</f>
        <v>3668</v>
      </c>
      <c r="L332" s="32" t="s">
        <v>1110</v>
      </c>
      <c r="M332" s="31">
        <f>3750</f>
        <v>3750</v>
      </c>
      <c r="N332" s="32" t="s">
        <v>675</v>
      </c>
      <c r="O332" s="31">
        <f>3656</f>
        <v>3656</v>
      </c>
      <c r="P332" s="32" t="s">
        <v>1116</v>
      </c>
      <c r="Q332" s="31">
        <f>3734</f>
        <v>3734</v>
      </c>
      <c r="R332" s="32" t="s">
        <v>681</v>
      </c>
      <c r="S332" s="33">
        <f>3705.25</f>
        <v>3705.25</v>
      </c>
      <c r="T332" s="30">
        <f>3767040</f>
        <v>3767040</v>
      </c>
      <c r="U332" s="30">
        <f>3723300</f>
        <v>3723300</v>
      </c>
      <c r="V332" s="30">
        <f>13907859757</f>
        <v>13907859757</v>
      </c>
      <c r="W332" s="30">
        <f>13745599287</f>
        <v>13745599287</v>
      </c>
      <c r="X332" s="34">
        <f>20</f>
        <v>20</v>
      </c>
    </row>
    <row r="333" spans="1:24">
      <c r="A333" s="25" t="s">
        <v>1185</v>
      </c>
      <c r="B333" s="25" t="s">
        <v>746</v>
      </c>
      <c r="C333" s="25" t="s">
        <v>747</v>
      </c>
      <c r="D333" s="25" t="s">
        <v>748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10</v>
      </c>
      <c r="K333" s="31">
        <f>624.1</f>
        <v>624.1</v>
      </c>
      <c r="L333" s="32" t="s">
        <v>1110</v>
      </c>
      <c r="M333" s="31">
        <f>628.4</f>
        <v>628.4</v>
      </c>
      <c r="N333" s="32" t="s">
        <v>876</v>
      </c>
      <c r="O333" s="31">
        <f>620.1</f>
        <v>620.1</v>
      </c>
      <c r="P333" s="32" t="s">
        <v>1116</v>
      </c>
      <c r="Q333" s="31">
        <f>626.9</f>
        <v>626.9</v>
      </c>
      <c r="R333" s="32" t="s">
        <v>681</v>
      </c>
      <c r="S333" s="33">
        <f>624.68</f>
        <v>624.67999999999995</v>
      </c>
      <c r="T333" s="30">
        <f>199270</f>
        <v>199270</v>
      </c>
      <c r="U333" s="30">
        <f>160000</f>
        <v>160000</v>
      </c>
      <c r="V333" s="30">
        <f>124303712</f>
        <v>124303712</v>
      </c>
      <c r="W333" s="30">
        <f>99776000</f>
        <v>99776000</v>
      </c>
      <c r="X333" s="34">
        <f>20</f>
        <v>20</v>
      </c>
    </row>
    <row r="334" spans="1:24">
      <c r="A334" s="25" t="s">
        <v>1185</v>
      </c>
      <c r="B334" s="25" t="s">
        <v>749</v>
      </c>
      <c r="C334" s="25" t="s">
        <v>750</v>
      </c>
      <c r="D334" s="25" t="s">
        <v>751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2456</f>
        <v>2456</v>
      </c>
      <c r="L334" s="32" t="s">
        <v>1110</v>
      </c>
      <c r="M334" s="31">
        <f>2541</f>
        <v>2541</v>
      </c>
      <c r="N334" s="32" t="s">
        <v>682</v>
      </c>
      <c r="O334" s="31">
        <f>2378</f>
        <v>2378</v>
      </c>
      <c r="P334" s="32" t="s">
        <v>679</v>
      </c>
      <c r="Q334" s="31">
        <f>2436</f>
        <v>2436</v>
      </c>
      <c r="R334" s="32" t="s">
        <v>681</v>
      </c>
      <c r="S334" s="33">
        <f>2460.64</f>
        <v>2460.64</v>
      </c>
      <c r="T334" s="30">
        <f>14605</f>
        <v>14605</v>
      </c>
      <c r="U334" s="30">
        <f>10</f>
        <v>10</v>
      </c>
      <c r="V334" s="30">
        <f>36715136</f>
        <v>36715136</v>
      </c>
      <c r="W334" s="30">
        <f>24661</f>
        <v>24661</v>
      </c>
      <c r="X334" s="34">
        <f>22</f>
        <v>22</v>
      </c>
    </row>
    <row r="335" spans="1:24">
      <c r="A335" s="25" t="s">
        <v>1185</v>
      </c>
      <c r="B335" s="25" t="s">
        <v>752</v>
      </c>
      <c r="C335" s="25" t="s">
        <v>1031</v>
      </c>
      <c r="D335" s="25" t="s">
        <v>1030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2216</f>
        <v>2216</v>
      </c>
      <c r="L335" s="32" t="s">
        <v>1110</v>
      </c>
      <c r="M335" s="31">
        <f>2341</f>
        <v>2341</v>
      </c>
      <c r="N335" s="32" t="s">
        <v>760</v>
      </c>
      <c r="O335" s="31">
        <f>2179</f>
        <v>2179</v>
      </c>
      <c r="P335" s="32" t="s">
        <v>681</v>
      </c>
      <c r="Q335" s="31">
        <f>2204</f>
        <v>2204</v>
      </c>
      <c r="R335" s="32" t="s">
        <v>681</v>
      </c>
      <c r="S335" s="33">
        <f>2255.95</f>
        <v>2255.9499999999998</v>
      </c>
      <c r="T335" s="30">
        <f>20742</f>
        <v>20742</v>
      </c>
      <c r="U335" s="30">
        <f>53</f>
        <v>53</v>
      </c>
      <c r="V335" s="30">
        <f>47664525</f>
        <v>47664525</v>
      </c>
      <c r="W335" s="30">
        <f>120582</f>
        <v>120582</v>
      </c>
      <c r="X335" s="34">
        <f>22</f>
        <v>22</v>
      </c>
    </row>
    <row r="336" spans="1:24">
      <c r="A336" s="25" t="s">
        <v>1185</v>
      </c>
      <c r="B336" s="25" t="s">
        <v>753</v>
      </c>
      <c r="C336" s="25" t="s">
        <v>754</v>
      </c>
      <c r="D336" s="25" t="s">
        <v>755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8900</f>
        <v>8900</v>
      </c>
      <c r="L336" s="32" t="s">
        <v>1110</v>
      </c>
      <c r="M336" s="31">
        <f>8996</f>
        <v>8996</v>
      </c>
      <c r="N336" s="32" t="s">
        <v>759</v>
      </c>
      <c r="O336" s="31">
        <f>8462</f>
        <v>8462</v>
      </c>
      <c r="P336" s="32" t="s">
        <v>679</v>
      </c>
      <c r="Q336" s="31">
        <f>8576</f>
        <v>8576</v>
      </c>
      <c r="R336" s="32" t="s">
        <v>681</v>
      </c>
      <c r="S336" s="33">
        <f>8763.55</f>
        <v>8763.5499999999993</v>
      </c>
      <c r="T336" s="30">
        <f>123073</f>
        <v>123073</v>
      </c>
      <c r="U336" s="30">
        <f>120000</f>
        <v>120000</v>
      </c>
      <c r="V336" s="30">
        <f>1053151417</f>
        <v>1053151417</v>
      </c>
      <c r="W336" s="30">
        <f>1026302400</f>
        <v>1026302400</v>
      </c>
      <c r="X336" s="34">
        <f>22</f>
        <v>22</v>
      </c>
    </row>
    <row r="337" spans="1:24">
      <c r="A337" s="25" t="s">
        <v>1185</v>
      </c>
      <c r="B337" s="25" t="s">
        <v>756</v>
      </c>
      <c r="C337" s="25" t="s">
        <v>757</v>
      </c>
      <c r="D337" s="25" t="s">
        <v>758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5504</f>
        <v>5504</v>
      </c>
      <c r="L337" s="32" t="s">
        <v>1110</v>
      </c>
      <c r="M337" s="31">
        <f>5699</f>
        <v>5699</v>
      </c>
      <c r="N337" s="32" t="s">
        <v>759</v>
      </c>
      <c r="O337" s="31">
        <f>5454</f>
        <v>5454</v>
      </c>
      <c r="P337" s="32" t="s">
        <v>1116</v>
      </c>
      <c r="Q337" s="31">
        <f>5580</f>
        <v>5580</v>
      </c>
      <c r="R337" s="32" t="s">
        <v>681</v>
      </c>
      <c r="S337" s="33">
        <f>5533.36</f>
        <v>5533.36</v>
      </c>
      <c r="T337" s="30">
        <f>97408</f>
        <v>97408</v>
      </c>
      <c r="U337" s="30">
        <f>30000</f>
        <v>30000</v>
      </c>
      <c r="V337" s="30">
        <f>540896907</f>
        <v>540896907</v>
      </c>
      <c r="W337" s="30">
        <f>167214000</f>
        <v>167214000</v>
      </c>
      <c r="X337" s="34">
        <f>22</f>
        <v>22</v>
      </c>
    </row>
    <row r="338" spans="1:24">
      <c r="A338" s="25" t="s">
        <v>1185</v>
      </c>
      <c r="B338" s="25" t="s">
        <v>762</v>
      </c>
      <c r="C338" s="25" t="s">
        <v>763</v>
      </c>
      <c r="D338" s="25" t="s">
        <v>764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</v>
      </c>
      <c r="K338" s="31">
        <f>29480</f>
        <v>29480</v>
      </c>
      <c r="L338" s="32" t="s">
        <v>1110</v>
      </c>
      <c r="M338" s="31">
        <f>30940</f>
        <v>30940</v>
      </c>
      <c r="N338" s="32" t="s">
        <v>684</v>
      </c>
      <c r="O338" s="31">
        <f>26610</f>
        <v>26610</v>
      </c>
      <c r="P338" s="32" t="s">
        <v>681</v>
      </c>
      <c r="Q338" s="31">
        <f>27000</f>
        <v>27000</v>
      </c>
      <c r="R338" s="32" t="s">
        <v>681</v>
      </c>
      <c r="S338" s="33">
        <f>29112.5</f>
        <v>29112.5</v>
      </c>
      <c r="T338" s="30">
        <f>161983</f>
        <v>161983</v>
      </c>
      <c r="U338" s="30">
        <f>17424</f>
        <v>17424</v>
      </c>
      <c r="V338" s="30">
        <f>4723994635</f>
        <v>4723994635</v>
      </c>
      <c r="W338" s="30">
        <f>501289810</f>
        <v>501289810</v>
      </c>
      <c r="X338" s="34">
        <f>22</f>
        <v>22</v>
      </c>
    </row>
    <row r="339" spans="1:24">
      <c r="A339" s="25" t="s">
        <v>1185</v>
      </c>
      <c r="B339" s="25" t="s">
        <v>765</v>
      </c>
      <c r="C339" s="25" t="s">
        <v>766</v>
      </c>
      <c r="D339" s="25" t="s">
        <v>767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</v>
      </c>
      <c r="K339" s="31">
        <f>12415</f>
        <v>12415</v>
      </c>
      <c r="L339" s="32" t="s">
        <v>1110</v>
      </c>
      <c r="M339" s="31">
        <f>12900</f>
        <v>12900</v>
      </c>
      <c r="N339" s="32" t="s">
        <v>684</v>
      </c>
      <c r="O339" s="31">
        <f>11355</f>
        <v>11355</v>
      </c>
      <c r="P339" s="32" t="s">
        <v>681</v>
      </c>
      <c r="Q339" s="31">
        <f>11895</f>
        <v>11895</v>
      </c>
      <c r="R339" s="32" t="s">
        <v>681</v>
      </c>
      <c r="S339" s="33">
        <f>12386.82</f>
        <v>12386.82</v>
      </c>
      <c r="T339" s="30">
        <f>123260</f>
        <v>123260</v>
      </c>
      <c r="U339" s="30">
        <f>5</f>
        <v>5</v>
      </c>
      <c r="V339" s="30">
        <f>1530775340</f>
        <v>1530775340</v>
      </c>
      <c r="W339" s="30">
        <f>63065</f>
        <v>63065</v>
      </c>
      <c r="X339" s="34">
        <f>22</f>
        <v>22</v>
      </c>
    </row>
    <row r="340" spans="1:24">
      <c r="A340" s="25" t="s">
        <v>1185</v>
      </c>
      <c r="B340" s="25" t="s">
        <v>768</v>
      </c>
      <c r="C340" s="25" t="s">
        <v>769</v>
      </c>
      <c r="D340" s="25" t="s">
        <v>770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18785</f>
        <v>18785</v>
      </c>
      <c r="L340" s="32" t="s">
        <v>1110</v>
      </c>
      <c r="M340" s="31">
        <f>19740</f>
        <v>19740</v>
      </c>
      <c r="N340" s="32" t="s">
        <v>681</v>
      </c>
      <c r="O340" s="31">
        <f>17945</f>
        <v>17945</v>
      </c>
      <c r="P340" s="32" t="s">
        <v>684</v>
      </c>
      <c r="Q340" s="31">
        <f>19410</f>
        <v>19410</v>
      </c>
      <c r="R340" s="32" t="s">
        <v>681</v>
      </c>
      <c r="S340" s="33">
        <f>18683.86</f>
        <v>18683.86</v>
      </c>
      <c r="T340" s="30">
        <f>66148</f>
        <v>66148</v>
      </c>
      <c r="U340" s="30">
        <f>23</f>
        <v>23</v>
      </c>
      <c r="V340" s="30">
        <f>1241170670</f>
        <v>1241170670</v>
      </c>
      <c r="W340" s="30">
        <f>414110</f>
        <v>414110</v>
      </c>
      <c r="X340" s="34">
        <f>22</f>
        <v>22</v>
      </c>
    </row>
    <row r="341" spans="1:24">
      <c r="A341" s="25" t="s">
        <v>1185</v>
      </c>
      <c r="B341" s="25" t="s">
        <v>771</v>
      </c>
      <c r="C341" s="25" t="s">
        <v>772</v>
      </c>
      <c r="D341" s="25" t="s">
        <v>773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4030</f>
        <v>4030</v>
      </c>
      <c r="L341" s="32" t="s">
        <v>1110</v>
      </c>
      <c r="M341" s="31">
        <f>4124</f>
        <v>4124</v>
      </c>
      <c r="N341" s="32" t="s">
        <v>683</v>
      </c>
      <c r="O341" s="31">
        <f>4030</f>
        <v>4030</v>
      </c>
      <c r="P341" s="32" t="s">
        <v>1110</v>
      </c>
      <c r="Q341" s="31">
        <f>4074</f>
        <v>4074</v>
      </c>
      <c r="R341" s="32" t="s">
        <v>679</v>
      </c>
      <c r="S341" s="33">
        <f>4066.21</f>
        <v>4066.21</v>
      </c>
      <c r="T341" s="30">
        <f>88030</f>
        <v>88030</v>
      </c>
      <c r="U341" s="30">
        <f>86540</f>
        <v>86540</v>
      </c>
      <c r="V341" s="30">
        <f>357915759</f>
        <v>357915759</v>
      </c>
      <c r="W341" s="30">
        <f>351855589</f>
        <v>351855589</v>
      </c>
      <c r="X341" s="34">
        <f>14</f>
        <v>14</v>
      </c>
    </row>
    <row r="342" spans="1:24">
      <c r="A342" s="25" t="s">
        <v>1185</v>
      </c>
      <c r="B342" s="25" t="s">
        <v>774</v>
      </c>
      <c r="C342" s="25" t="s">
        <v>775</v>
      </c>
      <c r="D342" s="25" t="s">
        <v>776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5644</f>
        <v>5644</v>
      </c>
      <c r="L342" s="32" t="s">
        <v>1110</v>
      </c>
      <c r="M342" s="31">
        <f>5805</f>
        <v>5805</v>
      </c>
      <c r="N342" s="32" t="s">
        <v>1113</v>
      </c>
      <c r="O342" s="31">
        <f>5219</f>
        <v>5219</v>
      </c>
      <c r="P342" s="32" t="s">
        <v>679</v>
      </c>
      <c r="Q342" s="31">
        <f>5265</f>
        <v>5265</v>
      </c>
      <c r="R342" s="32" t="s">
        <v>681</v>
      </c>
      <c r="S342" s="33">
        <f>5493.55</f>
        <v>5493.55</v>
      </c>
      <c r="T342" s="30">
        <f>231610</f>
        <v>231610</v>
      </c>
      <c r="U342" s="30">
        <f>157680</f>
        <v>157680</v>
      </c>
      <c r="V342" s="30">
        <f>1249025336</f>
        <v>1249025336</v>
      </c>
      <c r="W342" s="30">
        <f>837630646</f>
        <v>837630646</v>
      </c>
      <c r="X342" s="34">
        <f>22</f>
        <v>22</v>
      </c>
    </row>
    <row r="343" spans="1:24">
      <c r="A343" s="25" t="s">
        <v>1185</v>
      </c>
      <c r="B343" s="25" t="s">
        <v>786</v>
      </c>
      <c r="C343" s="25" t="s">
        <v>787</v>
      </c>
      <c r="D343" s="25" t="s">
        <v>788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10</v>
      </c>
      <c r="K343" s="31">
        <f>2585</f>
        <v>2585</v>
      </c>
      <c r="L343" s="32" t="s">
        <v>1110</v>
      </c>
      <c r="M343" s="31">
        <f>2699.5</f>
        <v>2699.5</v>
      </c>
      <c r="N343" s="32" t="s">
        <v>684</v>
      </c>
      <c r="O343" s="31">
        <f>2455</f>
        <v>2455</v>
      </c>
      <c r="P343" s="32" t="s">
        <v>681</v>
      </c>
      <c r="Q343" s="31">
        <f>2569.5</f>
        <v>2569.5</v>
      </c>
      <c r="R343" s="32" t="s">
        <v>681</v>
      </c>
      <c r="S343" s="33">
        <f>2597.84</f>
        <v>2597.84</v>
      </c>
      <c r="T343" s="30">
        <f>1119650</f>
        <v>1119650</v>
      </c>
      <c r="U343" s="30">
        <f>152100</f>
        <v>152100</v>
      </c>
      <c r="V343" s="30">
        <f>2916280572</f>
        <v>2916280572</v>
      </c>
      <c r="W343" s="30">
        <f>398408802</f>
        <v>398408802</v>
      </c>
      <c r="X343" s="34">
        <f>22</f>
        <v>22</v>
      </c>
    </row>
    <row r="344" spans="1:24">
      <c r="A344" s="25" t="s">
        <v>1185</v>
      </c>
      <c r="B344" s="25" t="s">
        <v>789</v>
      </c>
      <c r="C344" s="25" t="s">
        <v>790</v>
      </c>
      <c r="D344" s="25" t="s">
        <v>791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2074</f>
        <v>2074</v>
      </c>
      <c r="L344" s="32" t="s">
        <v>1110</v>
      </c>
      <c r="M344" s="31">
        <f>2179.5</f>
        <v>2179.5</v>
      </c>
      <c r="N344" s="32" t="s">
        <v>678</v>
      </c>
      <c r="O344" s="31">
        <f>2065.5</f>
        <v>2065.5</v>
      </c>
      <c r="P344" s="32" t="s">
        <v>1113</v>
      </c>
      <c r="Q344" s="31">
        <f>2144</f>
        <v>2144</v>
      </c>
      <c r="R344" s="32" t="s">
        <v>681</v>
      </c>
      <c r="S344" s="33">
        <f>2113</f>
        <v>2113</v>
      </c>
      <c r="T344" s="30">
        <f>1395560</f>
        <v>1395560</v>
      </c>
      <c r="U344" s="30">
        <f>891750</f>
        <v>891750</v>
      </c>
      <c r="V344" s="30">
        <f>2945772264</f>
        <v>2945772264</v>
      </c>
      <c r="W344" s="30">
        <f>1875191894</f>
        <v>1875191894</v>
      </c>
      <c r="X344" s="34">
        <f>22</f>
        <v>22</v>
      </c>
    </row>
    <row r="345" spans="1:24">
      <c r="A345" s="25" t="s">
        <v>1185</v>
      </c>
      <c r="B345" s="25" t="s">
        <v>792</v>
      </c>
      <c r="C345" s="25" t="s">
        <v>793</v>
      </c>
      <c r="D345" s="25" t="s">
        <v>794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1947</f>
        <v>1947</v>
      </c>
      <c r="L345" s="32" t="s">
        <v>1110</v>
      </c>
      <c r="M345" s="31">
        <f>2017</f>
        <v>2017</v>
      </c>
      <c r="N345" s="32" t="s">
        <v>674</v>
      </c>
      <c r="O345" s="31">
        <f>1863</f>
        <v>1863</v>
      </c>
      <c r="P345" s="32" t="s">
        <v>679</v>
      </c>
      <c r="Q345" s="31">
        <f>1922</f>
        <v>1922</v>
      </c>
      <c r="R345" s="32" t="s">
        <v>681</v>
      </c>
      <c r="S345" s="33">
        <f>1965.91</f>
        <v>1965.91</v>
      </c>
      <c r="T345" s="30">
        <f>20855</f>
        <v>20855</v>
      </c>
      <c r="U345" s="30" t="str">
        <f>"－"</f>
        <v>－</v>
      </c>
      <c r="V345" s="30">
        <f>41400700</f>
        <v>41400700</v>
      </c>
      <c r="W345" s="30" t="str">
        <f>"－"</f>
        <v>－</v>
      </c>
      <c r="X345" s="34">
        <f>22</f>
        <v>22</v>
      </c>
    </row>
    <row r="346" spans="1:24">
      <c r="A346" s="25" t="s">
        <v>1185</v>
      </c>
      <c r="B346" s="25" t="s">
        <v>795</v>
      </c>
      <c r="C346" s="25" t="s">
        <v>796</v>
      </c>
      <c r="D346" s="25" t="s">
        <v>797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2151</f>
        <v>2151</v>
      </c>
      <c r="L346" s="32" t="s">
        <v>1110</v>
      </c>
      <c r="M346" s="31">
        <f>2333</f>
        <v>2333</v>
      </c>
      <c r="N346" s="32" t="s">
        <v>678</v>
      </c>
      <c r="O346" s="31">
        <f>2060</f>
        <v>2060</v>
      </c>
      <c r="P346" s="32" t="s">
        <v>676</v>
      </c>
      <c r="Q346" s="31">
        <f>2095</f>
        <v>2095</v>
      </c>
      <c r="R346" s="32" t="s">
        <v>681</v>
      </c>
      <c r="S346" s="33">
        <f>2169.55</f>
        <v>2169.5500000000002</v>
      </c>
      <c r="T346" s="30">
        <f>45730</f>
        <v>45730</v>
      </c>
      <c r="U346" s="30" t="str">
        <f>"－"</f>
        <v>－</v>
      </c>
      <c r="V346" s="30">
        <f>101461678</f>
        <v>101461678</v>
      </c>
      <c r="W346" s="30" t="str">
        <f>"－"</f>
        <v>－</v>
      </c>
      <c r="X346" s="34">
        <f>22</f>
        <v>22</v>
      </c>
    </row>
    <row r="347" spans="1:24">
      <c r="A347" s="25" t="s">
        <v>1185</v>
      </c>
      <c r="B347" s="25" t="s">
        <v>798</v>
      </c>
      <c r="C347" s="25" t="s">
        <v>799</v>
      </c>
      <c r="D347" s="25" t="s">
        <v>800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4250</f>
        <v>4250</v>
      </c>
      <c r="L347" s="32" t="s">
        <v>1110</v>
      </c>
      <c r="M347" s="31">
        <f>4405</f>
        <v>4405</v>
      </c>
      <c r="N347" s="32" t="s">
        <v>678</v>
      </c>
      <c r="O347" s="31">
        <f>4235</f>
        <v>4235</v>
      </c>
      <c r="P347" s="32" t="s">
        <v>876</v>
      </c>
      <c r="Q347" s="31">
        <f>4345</f>
        <v>4345</v>
      </c>
      <c r="R347" s="32" t="s">
        <v>681</v>
      </c>
      <c r="S347" s="33">
        <f>4308.86</f>
        <v>4308.8599999999997</v>
      </c>
      <c r="T347" s="30">
        <f>134017</f>
        <v>134017</v>
      </c>
      <c r="U347" s="30">
        <f>105132</f>
        <v>105132</v>
      </c>
      <c r="V347" s="30">
        <f>582387080</f>
        <v>582387080</v>
      </c>
      <c r="W347" s="30">
        <f>457511855</f>
        <v>457511855</v>
      </c>
      <c r="X347" s="34">
        <f>22</f>
        <v>22</v>
      </c>
    </row>
    <row r="348" spans="1:24">
      <c r="A348" s="25" t="s">
        <v>1185</v>
      </c>
      <c r="B348" s="25" t="s">
        <v>801</v>
      </c>
      <c r="C348" s="25" t="s">
        <v>802</v>
      </c>
      <c r="D348" s="25" t="s">
        <v>803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2879.5</f>
        <v>2879.5</v>
      </c>
      <c r="L348" s="32" t="s">
        <v>1110</v>
      </c>
      <c r="M348" s="31">
        <f>3011</f>
        <v>3011</v>
      </c>
      <c r="N348" s="32" t="s">
        <v>684</v>
      </c>
      <c r="O348" s="31">
        <f>2721.5</f>
        <v>2721.5</v>
      </c>
      <c r="P348" s="32" t="s">
        <v>679</v>
      </c>
      <c r="Q348" s="31">
        <f>2786</f>
        <v>2786</v>
      </c>
      <c r="R348" s="32" t="s">
        <v>681</v>
      </c>
      <c r="S348" s="33">
        <f>2861.58</f>
        <v>2861.58</v>
      </c>
      <c r="T348" s="30">
        <f>12600</f>
        <v>12600</v>
      </c>
      <c r="U348" s="30" t="str">
        <f>"－"</f>
        <v>－</v>
      </c>
      <c r="V348" s="30">
        <f>35667610</f>
        <v>35667610</v>
      </c>
      <c r="W348" s="30" t="str">
        <f>"－"</f>
        <v>－</v>
      </c>
      <c r="X348" s="34">
        <f>13</f>
        <v>13</v>
      </c>
    </row>
    <row r="349" spans="1:24">
      <c r="A349" s="25" t="s">
        <v>1185</v>
      </c>
      <c r="B349" s="25" t="s">
        <v>812</v>
      </c>
      <c r="C349" s="25" t="s">
        <v>813</v>
      </c>
      <c r="D349" s="25" t="s">
        <v>814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10</v>
      </c>
      <c r="K349" s="31">
        <f>285</f>
        <v>285</v>
      </c>
      <c r="L349" s="32" t="s">
        <v>1110</v>
      </c>
      <c r="M349" s="31">
        <f>301.7</f>
        <v>301.7</v>
      </c>
      <c r="N349" s="32" t="s">
        <v>682</v>
      </c>
      <c r="O349" s="31">
        <f>266</f>
        <v>266</v>
      </c>
      <c r="P349" s="32" t="s">
        <v>676</v>
      </c>
      <c r="Q349" s="31">
        <f>275</f>
        <v>275</v>
      </c>
      <c r="R349" s="32" t="s">
        <v>681</v>
      </c>
      <c r="S349" s="33">
        <f>282.36</f>
        <v>282.36</v>
      </c>
      <c r="T349" s="30">
        <f>17470</f>
        <v>17470</v>
      </c>
      <c r="U349" s="30" t="str">
        <f>"－"</f>
        <v>－</v>
      </c>
      <c r="V349" s="30">
        <f>4979646</f>
        <v>4979646</v>
      </c>
      <c r="W349" s="30" t="str">
        <f>"－"</f>
        <v>－</v>
      </c>
      <c r="X349" s="34">
        <f>22</f>
        <v>22</v>
      </c>
    </row>
    <row r="350" spans="1:24">
      <c r="A350" s="25" t="s">
        <v>1185</v>
      </c>
      <c r="B350" s="25" t="s">
        <v>804</v>
      </c>
      <c r="C350" s="25" t="s">
        <v>805</v>
      </c>
      <c r="D350" s="25" t="s">
        <v>806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171.8</f>
        <v>171.8</v>
      </c>
      <c r="L350" s="32" t="s">
        <v>1110</v>
      </c>
      <c r="M350" s="31">
        <f>173.6</f>
        <v>173.6</v>
      </c>
      <c r="N350" s="32" t="s">
        <v>678</v>
      </c>
      <c r="O350" s="31">
        <f>167.8</f>
        <v>167.8</v>
      </c>
      <c r="P350" s="32" t="s">
        <v>876</v>
      </c>
      <c r="Q350" s="31">
        <f>170.4</f>
        <v>170.4</v>
      </c>
      <c r="R350" s="32" t="s">
        <v>681</v>
      </c>
      <c r="S350" s="33">
        <f>169.96</f>
        <v>169.96</v>
      </c>
      <c r="T350" s="30">
        <f>2701750</f>
        <v>2701750</v>
      </c>
      <c r="U350" s="30">
        <f>2652180</f>
        <v>2652180</v>
      </c>
      <c r="V350" s="30">
        <f>458388852</f>
        <v>458388852</v>
      </c>
      <c r="W350" s="30">
        <f>449970830</f>
        <v>449970830</v>
      </c>
      <c r="X350" s="34">
        <f>22</f>
        <v>22</v>
      </c>
    </row>
    <row r="351" spans="1:24">
      <c r="A351" s="25" t="s">
        <v>1185</v>
      </c>
      <c r="B351" s="25" t="s">
        <v>807</v>
      </c>
      <c r="C351" s="25" t="s">
        <v>808</v>
      </c>
      <c r="D351" s="25" t="s">
        <v>809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664.4</f>
        <v>664.4</v>
      </c>
      <c r="L351" s="32" t="s">
        <v>1116</v>
      </c>
      <c r="M351" s="31">
        <f>674.4</f>
        <v>674.4</v>
      </c>
      <c r="N351" s="32" t="s">
        <v>1113</v>
      </c>
      <c r="O351" s="31">
        <f>664.4</f>
        <v>664.4</v>
      </c>
      <c r="P351" s="32" t="s">
        <v>1116</v>
      </c>
      <c r="Q351" s="31">
        <f>665.9</f>
        <v>665.9</v>
      </c>
      <c r="R351" s="32" t="s">
        <v>778</v>
      </c>
      <c r="S351" s="33">
        <f>666.52</f>
        <v>666.52</v>
      </c>
      <c r="T351" s="30">
        <f>290</f>
        <v>290</v>
      </c>
      <c r="U351" s="30" t="str">
        <f>"－"</f>
        <v>－</v>
      </c>
      <c r="V351" s="30">
        <f>192915</f>
        <v>192915</v>
      </c>
      <c r="W351" s="30" t="str">
        <f>"－"</f>
        <v>－</v>
      </c>
      <c r="X351" s="34">
        <f>5</f>
        <v>5</v>
      </c>
    </row>
    <row r="352" spans="1:24">
      <c r="A352" s="25" t="s">
        <v>1185</v>
      </c>
      <c r="B352" s="25" t="s">
        <v>815</v>
      </c>
      <c r="C352" s="25" t="s">
        <v>816</v>
      </c>
      <c r="D352" s="25" t="s">
        <v>817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1567</f>
        <v>1567</v>
      </c>
      <c r="L352" s="32" t="s">
        <v>1110</v>
      </c>
      <c r="M352" s="31">
        <f>1697</f>
        <v>1697</v>
      </c>
      <c r="N352" s="32" t="s">
        <v>684</v>
      </c>
      <c r="O352" s="31">
        <f>1448</f>
        <v>1448</v>
      </c>
      <c r="P352" s="32" t="s">
        <v>676</v>
      </c>
      <c r="Q352" s="31">
        <f>1528</f>
        <v>1528</v>
      </c>
      <c r="R352" s="32" t="s">
        <v>681</v>
      </c>
      <c r="S352" s="33">
        <f>1578.73</f>
        <v>1578.73</v>
      </c>
      <c r="T352" s="30">
        <f>854450</f>
        <v>854450</v>
      </c>
      <c r="U352" s="30">
        <f>597</f>
        <v>597</v>
      </c>
      <c r="V352" s="30">
        <f>1385780021</f>
        <v>1385780021</v>
      </c>
      <c r="W352" s="30">
        <f>944758</f>
        <v>944758</v>
      </c>
      <c r="X352" s="34">
        <f>22</f>
        <v>22</v>
      </c>
    </row>
    <row r="353" spans="1:24">
      <c r="A353" s="25" t="s">
        <v>1185</v>
      </c>
      <c r="B353" s="25" t="s">
        <v>818</v>
      </c>
      <c r="C353" s="25" t="s">
        <v>819</v>
      </c>
      <c r="D353" s="25" t="s">
        <v>820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</v>
      </c>
      <c r="K353" s="31">
        <f>884</f>
        <v>884</v>
      </c>
      <c r="L353" s="32" t="s">
        <v>1110</v>
      </c>
      <c r="M353" s="31">
        <f>897</f>
        <v>897</v>
      </c>
      <c r="N353" s="32" t="s">
        <v>678</v>
      </c>
      <c r="O353" s="31">
        <f>865</f>
        <v>865</v>
      </c>
      <c r="P353" s="32" t="s">
        <v>1145</v>
      </c>
      <c r="Q353" s="31">
        <f>883</f>
        <v>883</v>
      </c>
      <c r="R353" s="32" t="s">
        <v>681</v>
      </c>
      <c r="S353" s="33">
        <f>877.95</f>
        <v>877.95</v>
      </c>
      <c r="T353" s="30">
        <f>642513</f>
        <v>642513</v>
      </c>
      <c r="U353" s="30">
        <f>200000</f>
        <v>200000</v>
      </c>
      <c r="V353" s="30">
        <f>562640848</f>
        <v>562640848</v>
      </c>
      <c r="W353" s="30">
        <f>175240030</f>
        <v>175240030</v>
      </c>
      <c r="X353" s="34">
        <f>22</f>
        <v>22</v>
      </c>
    </row>
    <row r="354" spans="1:24">
      <c r="A354" s="25" t="s">
        <v>1185</v>
      </c>
      <c r="B354" s="25" t="s">
        <v>821</v>
      </c>
      <c r="C354" s="25" t="s">
        <v>822</v>
      </c>
      <c r="D354" s="25" t="s">
        <v>823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10</v>
      </c>
      <c r="K354" s="31">
        <f>703</f>
        <v>703</v>
      </c>
      <c r="L354" s="32" t="s">
        <v>1110</v>
      </c>
      <c r="M354" s="31">
        <f>705</f>
        <v>705</v>
      </c>
      <c r="N354" s="32" t="s">
        <v>876</v>
      </c>
      <c r="O354" s="31">
        <f>696</f>
        <v>696</v>
      </c>
      <c r="P354" s="32" t="s">
        <v>1145</v>
      </c>
      <c r="Q354" s="31">
        <f>703</f>
        <v>703</v>
      </c>
      <c r="R354" s="32" t="s">
        <v>681</v>
      </c>
      <c r="S354" s="33">
        <f>700.64</f>
        <v>700.64</v>
      </c>
      <c r="T354" s="30">
        <f>2165030</f>
        <v>2165030</v>
      </c>
      <c r="U354" s="30">
        <f>1003040</f>
        <v>1003040</v>
      </c>
      <c r="V354" s="30">
        <f>1517956608</f>
        <v>1517956608</v>
      </c>
      <c r="W354" s="30">
        <f>702906891</f>
        <v>702906891</v>
      </c>
      <c r="X354" s="34">
        <f>22</f>
        <v>22</v>
      </c>
    </row>
    <row r="355" spans="1:24">
      <c r="A355" s="25" t="s">
        <v>1185</v>
      </c>
      <c r="B355" s="25" t="s">
        <v>824</v>
      </c>
      <c r="C355" s="25" t="s">
        <v>825</v>
      </c>
      <c r="D355" s="25" t="s">
        <v>826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10</v>
      </c>
      <c r="K355" s="31">
        <f>691.1</f>
        <v>691.1</v>
      </c>
      <c r="L355" s="32" t="s">
        <v>1110</v>
      </c>
      <c r="M355" s="31">
        <f>691.1</f>
        <v>691.1</v>
      </c>
      <c r="N355" s="32" t="s">
        <v>1110</v>
      </c>
      <c r="O355" s="31">
        <f>677</f>
        <v>677</v>
      </c>
      <c r="P355" s="32" t="s">
        <v>1116</v>
      </c>
      <c r="Q355" s="31">
        <f>687.7</f>
        <v>687.7</v>
      </c>
      <c r="R355" s="32" t="s">
        <v>681</v>
      </c>
      <c r="S355" s="33">
        <f>681.66</f>
        <v>681.66</v>
      </c>
      <c r="T355" s="30">
        <f>3120020</f>
        <v>3120020</v>
      </c>
      <c r="U355" s="30">
        <f>2783530</f>
        <v>2783530</v>
      </c>
      <c r="V355" s="30">
        <f>2129847697</f>
        <v>2129847697</v>
      </c>
      <c r="W355" s="30">
        <f>1900346771</f>
        <v>1900346771</v>
      </c>
      <c r="X355" s="34">
        <f>22</f>
        <v>22</v>
      </c>
    </row>
    <row r="356" spans="1:24">
      <c r="A356" s="25" t="s">
        <v>1185</v>
      </c>
      <c r="B356" s="25" t="s">
        <v>827</v>
      </c>
      <c r="C356" s="25" t="s">
        <v>828</v>
      </c>
      <c r="D356" s="25" t="s">
        <v>829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1280</f>
        <v>1280</v>
      </c>
      <c r="L356" s="32" t="s">
        <v>1110</v>
      </c>
      <c r="M356" s="31">
        <f>1309</f>
        <v>1309</v>
      </c>
      <c r="N356" s="32" t="s">
        <v>682</v>
      </c>
      <c r="O356" s="31">
        <f>1161</f>
        <v>1161</v>
      </c>
      <c r="P356" s="32" t="s">
        <v>679</v>
      </c>
      <c r="Q356" s="31">
        <f>1214</f>
        <v>1214</v>
      </c>
      <c r="R356" s="32" t="s">
        <v>681</v>
      </c>
      <c r="S356" s="33">
        <f>1251.55</f>
        <v>1251.55</v>
      </c>
      <c r="T356" s="30">
        <f>43318</f>
        <v>43318</v>
      </c>
      <c r="U356" s="30" t="str">
        <f>"－"</f>
        <v>－</v>
      </c>
      <c r="V356" s="30">
        <f>53966659</f>
        <v>53966659</v>
      </c>
      <c r="W356" s="30" t="str">
        <f>"－"</f>
        <v>－</v>
      </c>
      <c r="X356" s="34">
        <f>22</f>
        <v>22</v>
      </c>
    </row>
    <row r="357" spans="1:24">
      <c r="A357" s="25" t="s">
        <v>1185</v>
      </c>
      <c r="B357" s="25" t="s">
        <v>836</v>
      </c>
      <c r="C357" s="25" t="s">
        <v>837</v>
      </c>
      <c r="D357" s="25" t="s">
        <v>838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10</v>
      </c>
      <c r="K357" s="31">
        <f>2591.5</f>
        <v>2591.5</v>
      </c>
      <c r="L357" s="32" t="s">
        <v>1110</v>
      </c>
      <c r="M357" s="31">
        <f>2648</f>
        <v>2648</v>
      </c>
      <c r="N357" s="32" t="s">
        <v>1113</v>
      </c>
      <c r="O357" s="31">
        <f>2525</f>
        <v>2525</v>
      </c>
      <c r="P357" s="32" t="s">
        <v>676</v>
      </c>
      <c r="Q357" s="31">
        <f>2580</f>
        <v>2580</v>
      </c>
      <c r="R357" s="32" t="s">
        <v>681</v>
      </c>
      <c r="S357" s="33">
        <f>2588.11</f>
        <v>2588.11</v>
      </c>
      <c r="T357" s="30">
        <f>84260</f>
        <v>84260</v>
      </c>
      <c r="U357" s="30">
        <f>20</f>
        <v>20</v>
      </c>
      <c r="V357" s="30">
        <f>218573410</f>
        <v>218573410</v>
      </c>
      <c r="W357" s="30">
        <f>51995</f>
        <v>51995</v>
      </c>
      <c r="X357" s="34">
        <f>22</f>
        <v>22</v>
      </c>
    </row>
    <row r="358" spans="1:24">
      <c r="A358" s="25" t="s">
        <v>1185</v>
      </c>
      <c r="B358" s="25" t="s">
        <v>839</v>
      </c>
      <c r="C358" s="25" t="s">
        <v>840</v>
      </c>
      <c r="D358" s="25" t="s">
        <v>841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2545</f>
        <v>2545</v>
      </c>
      <c r="L358" s="32" t="s">
        <v>1110</v>
      </c>
      <c r="M358" s="31">
        <f>2573.5</f>
        <v>2573.5</v>
      </c>
      <c r="N358" s="32" t="s">
        <v>760</v>
      </c>
      <c r="O358" s="31">
        <f>2510.5</f>
        <v>2510.5</v>
      </c>
      <c r="P358" s="32" t="s">
        <v>874</v>
      </c>
      <c r="Q358" s="31">
        <f>2543.5</f>
        <v>2543.5</v>
      </c>
      <c r="R358" s="32" t="s">
        <v>681</v>
      </c>
      <c r="S358" s="33">
        <f>2542.52</f>
        <v>2542.52</v>
      </c>
      <c r="T358" s="30">
        <f>137320</f>
        <v>137320</v>
      </c>
      <c r="U358" s="30" t="str">
        <f>"－"</f>
        <v>－</v>
      </c>
      <c r="V358" s="30">
        <f>349975030</f>
        <v>349975030</v>
      </c>
      <c r="W358" s="30" t="str">
        <f>"－"</f>
        <v>－</v>
      </c>
      <c r="X358" s="34">
        <f>22</f>
        <v>22</v>
      </c>
    </row>
    <row r="359" spans="1:24">
      <c r="A359" s="25" t="s">
        <v>1185</v>
      </c>
      <c r="B359" s="25" t="s">
        <v>830</v>
      </c>
      <c r="C359" s="25" t="s">
        <v>831</v>
      </c>
      <c r="D359" s="25" t="s">
        <v>832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10</v>
      </c>
      <c r="K359" s="31">
        <f>5539</f>
        <v>5539</v>
      </c>
      <c r="L359" s="32" t="s">
        <v>1110</v>
      </c>
      <c r="M359" s="31">
        <f>5999</f>
        <v>5999</v>
      </c>
      <c r="N359" s="32" t="s">
        <v>1113</v>
      </c>
      <c r="O359" s="31">
        <f>5366</f>
        <v>5366</v>
      </c>
      <c r="P359" s="32" t="s">
        <v>679</v>
      </c>
      <c r="Q359" s="31">
        <f>5462</f>
        <v>5462</v>
      </c>
      <c r="R359" s="32" t="s">
        <v>883</v>
      </c>
      <c r="S359" s="33">
        <f>5562.72</f>
        <v>5562.72</v>
      </c>
      <c r="T359" s="30">
        <f>192010</f>
        <v>192010</v>
      </c>
      <c r="U359" s="30">
        <f>18900</f>
        <v>18900</v>
      </c>
      <c r="V359" s="30">
        <f>1065822050</f>
        <v>1065822050</v>
      </c>
      <c r="W359" s="30">
        <f>106334240</f>
        <v>106334240</v>
      </c>
      <c r="X359" s="34">
        <f>18</f>
        <v>18</v>
      </c>
    </row>
    <row r="360" spans="1:24">
      <c r="A360" s="25" t="s">
        <v>1185</v>
      </c>
      <c r="B360" s="25" t="s">
        <v>833</v>
      </c>
      <c r="C360" s="25" t="s">
        <v>834</v>
      </c>
      <c r="D360" s="25" t="s">
        <v>835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10</v>
      </c>
      <c r="K360" s="31">
        <f>4180</f>
        <v>4180</v>
      </c>
      <c r="L360" s="32" t="s">
        <v>1110</v>
      </c>
      <c r="M360" s="31">
        <f>4241</f>
        <v>4241</v>
      </c>
      <c r="N360" s="32" t="s">
        <v>681</v>
      </c>
      <c r="O360" s="31">
        <f>4150</f>
        <v>4150</v>
      </c>
      <c r="P360" s="32" t="s">
        <v>1110</v>
      </c>
      <c r="Q360" s="31">
        <f>4241</f>
        <v>4241</v>
      </c>
      <c r="R360" s="32" t="s">
        <v>681</v>
      </c>
      <c r="S360" s="33">
        <f>4198</f>
        <v>4198</v>
      </c>
      <c r="T360" s="30">
        <f>159140</f>
        <v>159140</v>
      </c>
      <c r="U360" s="30" t="str">
        <f>"－"</f>
        <v>－</v>
      </c>
      <c r="V360" s="30">
        <f>666141270</f>
        <v>666141270</v>
      </c>
      <c r="W360" s="30" t="str">
        <f>"－"</f>
        <v>－</v>
      </c>
      <c r="X360" s="34">
        <f>16</f>
        <v>16</v>
      </c>
    </row>
    <row r="361" spans="1:24">
      <c r="A361" s="25" t="s">
        <v>1185</v>
      </c>
      <c r="B361" s="25" t="s">
        <v>842</v>
      </c>
      <c r="C361" s="25" t="s">
        <v>843</v>
      </c>
      <c r="D361" s="25" t="s">
        <v>844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10</v>
      </c>
      <c r="K361" s="31">
        <f>1896</f>
        <v>1896</v>
      </c>
      <c r="L361" s="32" t="s">
        <v>1116</v>
      </c>
      <c r="M361" s="31">
        <f>1956</f>
        <v>1956</v>
      </c>
      <c r="N361" s="32" t="s">
        <v>1113</v>
      </c>
      <c r="O361" s="31">
        <f>1896</f>
        <v>1896</v>
      </c>
      <c r="P361" s="32" t="s">
        <v>1116</v>
      </c>
      <c r="Q361" s="31">
        <f>1916</f>
        <v>1916</v>
      </c>
      <c r="R361" s="32" t="s">
        <v>683</v>
      </c>
      <c r="S361" s="33">
        <f>1916.59</f>
        <v>1916.59</v>
      </c>
      <c r="T361" s="30">
        <f>3730</f>
        <v>3730</v>
      </c>
      <c r="U361" s="30" t="str">
        <f>"－"</f>
        <v>－</v>
      </c>
      <c r="V361" s="30">
        <f>7162780</f>
        <v>7162780</v>
      </c>
      <c r="W361" s="30" t="str">
        <f>"－"</f>
        <v>－</v>
      </c>
      <c r="X361" s="34">
        <f>11</f>
        <v>11</v>
      </c>
    </row>
    <row r="362" spans="1:24">
      <c r="A362" s="25" t="s">
        <v>1185</v>
      </c>
      <c r="B362" s="25" t="s">
        <v>845</v>
      </c>
      <c r="C362" s="25" t="s">
        <v>846</v>
      </c>
      <c r="D362" s="25" t="s">
        <v>847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</v>
      </c>
      <c r="K362" s="31">
        <f>1412</f>
        <v>1412</v>
      </c>
      <c r="L362" s="32" t="s">
        <v>1110</v>
      </c>
      <c r="M362" s="31">
        <f>1509</f>
        <v>1509</v>
      </c>
      <c r="N362" s="32" t="s">
        <v>680</v>
      </c>
      <c r="O362" s="31">
        <f>1400</f>
        <v>1400</v>
      </c>
      <c r="P362" s="32" t="s">
        <v>1110</v>
      </c>
      <c r="Q362" s="31">
        <f>1444</f>
        <v>1444</v>
      </c>
      <c r="R362" s="32" t="s">
        <v>681</v>
      </c>
      <c r="S362" s="33">
        <f>1444.77</f>
        <v>1444.77</v>
      </c>
      <c r="T362" s="30">
        <f>14892</f>
        <v>14892</v>
      </c>
      <c r="U362" s="30" t="str">
        <f>"－"</f>
        <v>－</v>
      </c>
      <c r="V362" s="30">
        <f>21558933</f>
        <v>21558933</v>
      </c>
      <c r="W362" s="30" t="str">
        <f>"－"</f>
        <v>－</v>
      </c>
      <c r="X362" s="34">
        <f>22</f>
        <v>22</v>
      </c>
    </row>
    <row r="363" spans="1:24">
      <c r="A363" s="25" t="s">
        <v>1185</v>
      </c>
      <c r="B363" s="25" t="s">
        <v>848</v>
      </c>
      <c r="C363" s="25" t="s">
        <v>849</v>
      </c>
      <c r="D363" s="25" t="s">
        <v>850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1265</f>
        <v>1265</v>
      </c>
      <c r="L363" s="32" t="s">
        <v>1110</v>
      </c>
      <c r="M363" s="31">
        <f>1306</f>
        <v>1306</v>
      </c>
      <c r="N363" s="32" t="s">
        <v>1113</v>
      </c>
      <c r="O363" s="31">
        <f>1152</f>
        <v>1152</v>
      </c>
      <c r="P363" s="32" t="s">
        <v>681</v>
      </c>
      <c r="Q363" s="31">
        <f>1161</f>
        <v>1161</v>
      </c>
      <c r="R363" s="32" t="s">
        <v>681</v>
      </c>
      <c r="S363" s="33">
        <f>1232.14</f>
        <v>1232.1400000000001</v>
      </c>
      <c r="T363" s="30">
        <f>4276024</f>
        <v>4276024</v>
      </c>
      <c r="U363" s="30">
        <f>415249</f>
        <v>415249</v>
      </c>
      <c r="V363" s="30">
        <f>5266867668</f>
        <v>5266867668</v>
      </c>
      <c r="W363" s="30">
        <f>523252326</f>
        <v>523252326</v>
      </c>
      <c r="X363" s="34">
        <f>22</f>
        <v>22</v>
      </c>
    </row>
    <row r="364" spans="1:24">
      <c r="A364" s="25" t="s">
        <v>1185</v>
      </c>
      <c r="B364" s="25" t="s">
        <v>851</v>
      </c>
      <c r="C364" s="25" t="s">
        <v>852</v>
      </c>
      <c r="D364" s="25" t="s">
        <v>853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</v>
      </c>
      <c r="K364" s="31">
        <f>1064</f>
        <v>1064</v>
      </c>
      <c r="L364" s="32" t="s">
        <v>1110</v>
      </c>
      <c r="M364" s="31">
        <f>1090</f>
        <v>1090</v>
      </c>
      <c r="N364" s="32" t="s">
        <v>675</v>
      </c>
      <c r="O364" s="31">
        <f>1005</f>
        <v>1005</v>
      </c>
      <c r="P364" s="32" t="s">
        <v>679</v>
      </c>
      <c r="Q364" s="31">
        <f>1016</f>
        <v>1016</v>
      </c>
      <c r="R364" s="32" t="s">
        <v>681</v>
      </c>
      <c r="S364" s="33">
        <f>1051.55</f>
        <v>1051.55</v>
      </c>
      <c r="T364" s="30">
        <f>953562</f>
        <v>953562</v>
      </c>
      <c r="U364" s="30">
        <f>57</f>
        <v>57</v>
      </c>
      <c r="V364" s="30">
        <f>997010621</f>
        <v>997010621</v>
      </c>
      <c r="W364" s="30">
        <f>55345</f>
        <v>55345</v>
      </c>
      <c r="X364" s="34">
        <f>22</f>
        <v>22</v>
      </c>
    </row>
    <row r="365" spans="1:24">
      <c r="A365" s="25" t="s">
        <v>1185</v>
      </c>
      <c r="B365" s="25" t="s">
        <v>858</v>
      </c>
      <c r="C365" s="25" t="s">
        <v>859</v>
      </c>
      <c r="D365" s="25" t="s">
        <v>860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</v>
      </c>
      <c r="K365" s="31">
        <f>1181</f>
        <v>1181</v>
      </c>
      <c r="L365" s="32" t="s">
        <v>1110</v>
      </c>
      <c r="M365" s="31">
        <f>1286</f>
        <v>1286</v>
      </c>
      <c r="N365" s="32" t="s">
        <v>682</v>
      </c>
      <c r="O365" s="31">
        <f>1111</f>
        <v>1111</v>
      </c>
      <c r="P365" s="32" t="s">
        <v>681</v>
      </c>
      <c r="Q365" s="31">
        <f>1111</f>
        <v>1111</v>
      </c>
      <c r="R365" s="32" t="s">
        <v>681</v>
      </c>
      <c r="S365" s="33">
        <f>1208.64</f>
        <v>1208.6400000000001</v>
      </c>
      <c r="T365" s="30">
        <f>16384</f>
        <v>16384</v>
      </c>
      <c r="U365" s="30" t="str">
        <f>"－"</f>
        <v>－</v>
      </c>
      <c r="V365" s="30">
        <f>20259073</f>
        <v>20259073</v>
      </c>
      <c r="W365" s="30" t="str">
        <f>"－"</f>
        <v>－</v>
      </c>
      <c r="X365" s="34">
        <f>22</f>
        <v>22</v>
      </c>
    </row>
    <row r="366" spans="1:24">
      <c r="A366" s="25" t="s">
        <v>1185</v>
      </c>
      <c r="B366" s="25" t="s">
        <v>861</v>
      </c>
      <c r="C366" s="25" t="s">
        <v>862</v>
      </c>
      <c r="D366" s="25" t="s">
        <v>863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</v>
      </c>
      <c r="K366" s="31">
        <f>1135</f>
        <v>1135</v>
      </c>
      <c r="L366" s="32" t="s">
        <v>1110</v>
      </c>
      <c r="M366" s="31">
        <f>1139</f>
        <v>1139</v>
      </c>
      <c r="N366" s="32" t="s">
        <v>675</v>
      </c>
      <c r="O366" s="31">
        <f>1053</f>
        <v>1053</v>
      </c>
      <c r="P366" s="32" t="s">
        <v>679</v>
      </c>
      <c r="Q366" s="31">
        <f>1067</f>
        <v>1067</v>
      </c>
      <c r="R366" s="32" t="s">
        <v>681</v>
      </c>
      <c r="S366" s="33">
        <f>1107.36</f>
        <v>1107.3599999999999</v>
      </c>
      <c r="T366" s="30">
        <f>482404</f>
        <v>482404</v>
      </c>
      <c r="U366" s="30">
        <f>855</f>
        <v>855</v>
      </c>
      <c r="V366" s="30">
        <f>530627216</f>
        <v>530627216</v>
      </c>
      <c r="W366" s="30">
        <f>964440</f>
        <v>964440</v>
      </c>
      <c r="X366" s="34">
        <f>22</f>
        <v>22</v>
      </c>
    </row>
    <row r="367" spans="1:24">
      <c r="A367" s="25" t="s">
        <v>1185</v>
      </c>
      <c r="B367" s="25" t="s">
        <v>864</v>
      </c>
      <c r="C367" s="25" t="s">
        <v>865</v>
      </c>
      <c r="D367" s="25" t="s">
        <v>950</v>
      </c>
      <c r="E367" s="26" t="s">
        <v>43</v>
      </c>
      <c r="F367" s="27" t="s">
        <v>43</v>
      </c>
      <c r="G367" s="28" t="s">
        <v>43</v>
      </c>
      <c r="H367" s="29"/>
      <c r="I367" s="29" t="s">
        <v>44</v>
      </c>
      <c r="J367" s="30">
        <v>1</v>
      </c>
      <c r="K367" s="31">
        <f>44220</f>
        <v>44220</v>
      </c>
      <c r="L367" s="32" t="s">
        <v>1110</v>
      </c>
      <c r="M367" s="31">
        <f>48530</f>
        <v>48530</v>
      </c>
      <c r="N367" s="32" t="s">
        <v>684</v>
      </c>
      <c r="O367" s="31">
        <f>40150</f>
        <v>40150</v>
      </c>
      <c r="P367" s="32" t="s">
        <v>681</v>
      </c>
      <c r="Q367" s="31">
        <f>41000</f>
        <v>41000</v>
      </c>
      <c r="R367" s="32" t="s">
        <v>681</v>
      </c>
      <c r="S367" s="33">
        <f>44844.09</f>
        <v>44844.09</v>
      </c>
      <c r="T367" s="30">
        <f>324326</f>
        <v>324326</v>
      </c>
      <c r="U367" s="30">
        <f>1264</f>
        <v>1264</v>
      </c>
      <c r="V367" s="30">
        <f>14430077185</f>
        <v>14430077185</v>
      </c>
      <c r="W367" s="30">
        <f>56208115</f>
        <v>56208115</v>
      </c>
      <c r="X367" s="34">
        <f>22</f>
        <v>22</v>
      </c>
    </row>
    <row r="368" spans="1:24">
      <c r="A368" s="25" t="s">
        <v>1185</v>
      </c>
      <c r="B368" s="25" t="s">
        <v>866</v>
      </c>
      <c r="C368" s="25" t="s">
        <v>867</v>
      </c>
      <c r="D368" s="25" t="s">
        <v>951</v>
      </c>
      <c r="E368" s="26" t="s">
        <v>43</v>
      </c>
      <c r="F368" s="27" t="s">
        <v>43</v>
      </c>
      <c r="G368" s="28" t="s">
        <v>43</v>
      </c>
      <c r="H368" s="29"/>
      <c r="I368" s="29" t="s">
        <v>44</v>
      </c>
      <c r="J368" s="30">
        <v>1</v>
      </c>
      <c r="K368" s="31">
        <f>20675</f>
        <v>20675</v>
      </c>
      <c r="L368" s="32" t="s">
        <v>1110</v>
      </c>
      <c r="M368" s="31">
        <f>22220</f>
        <v>22220</v>
      </c>
      <c r="N368" s="32" t="s">
        <v>676</v>
      </c>
      <c r="O368" s="31">
        <f>18675</f>
        <v>18675</v>
      </c>
      <c r="P368" s="32" t="s">
        <v>684</v>
      </c>
      <c r="Q368" s="31">
        <f>21700</f>
        <v>21700</v>
      </c>
      <c r="R368" s="32" t="s">
        <v>681</v>
      </c>
      <c r="S368" s="33">
        <f>20265.45</f>
        <v>20265.45</v>
      </c>
      <c r="T368" s="30">
        <f>293167</f>
        <v>293167</v>
      </c>
      <c r="U368" s="30">
        <f>79</f>
        <v>79</v>
      </c>
      <c r="V368" s="30">
        <f>6050811605</f>
        <v>6050811605</v>
      </c>
      <c r="W368" s="30">
        <f>1538570</f>
        <v>1538570</v>
      </c>
      <c r="X368" s="34">
        <f>22</f>
        <v>22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B047-DEB6-4735-AB10-B8E984898178}">
  <sheetPr>
    <pageSetUpPr fitToPage="1"/>
  </sheetPr>
  <dimension ref="A1:X366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1172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2987</f>
        <v>2987</v>
      </c>
      <c r="L7" s="32" t="s">
        <v>1145</v>
      </c>
      <c r="M7" s="31">
        <f>3019</f>
        <v>3019</v>
      </c>
      <c r="N7" s="32" t="s">
        <v>1114</v>
      </c>
      <c r="O7" s="31">
        <f>2876</f>
        <v>2876</v>
      </c>
      <c r="P7" s="32" t="s">
        <v>682</v>
      </c>
      <c r="Q7" s="31">
        <f>3006</f>
        <v>3006</v>
      </c>
      <c r="R7" s="32" t="s">
        <v>1114</v>
      </c>
      <c r="S7" s="33">
        <f>2947.3</f>
        <v>2947.3</v>
      </c>
      <c r="T7" s="30">
        <f>4816630</f>
        <v>4816630</v>
      </c>
      <c r="U7" s="30">
        <f>2157160</f>
        <v>2157160</v>
      </c>
      <c r="V7" s="30">
        <f>14260866405</f>
        <v>14260866405</v>
      </c>
      <c r="W7" s="30">
        <f>6390860930</f>
        <v>6390860930</v>
      </c>
      <c r="X7" s="34">
        <f>20</f>
        <v>20</v>
      </c>
    </row>
    <row r="8" spans="1:24">
      <c r="A8" s="25" t="s">
        <v>1172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2951.5</f>
        <v>2951.5</v>
      </c>
      <c r="L8" s="32" t="s">
        <v>1145</v>
      </c>
      <c r="M8" s="31">
        <f>2985</f>
        <v>2985</v>
      </c>
      <c r="N8" s="32" t="s">
        <v>1114</v>
      </c>
      <c r="O8" s="31">
        <f>2846</f>
        <v>2846</v>
      </c>
      <c r="P8" s="32" t="s">
        <v>682</v>
      </c>
      <c r="Q8" s="31">
        <f>2968.5</f>
        <v>2968.5</v>
      </c>
      <c r="R8" s="32" t="s">
        <v>1114</v>
      </c>
      <c r="S8" s="33">
        <f>2915.55</f>
        <v>2915.55</v>
      </c>
      <c r="T8" s="30">
        <f>38502540</f>
        <v>38502540</v>
      </c>
      <c r="U8" s="30">
        <f>3507630</f>
        <v>3507630</v>
      </c>
      <c r="V8" s="30">
        <f>112475281942</f>
        <v>112475281942</v>
      </c>
      <c r="W8" s="30">
        <f>10203325997</f>
        <v>10203325997</v>
      </c>
      <c r="X8" s="34">
        <f>20</f>
        <v>20</v>
      </c>
    </row>
    <row r="9" spans="1:24">
      <c r="A9" s="25" t="s">
        <v>1172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2917</f>
        <v>2917</v>
      </c>
      <c r="L9" s="32" t="s">
        <v>1145</v>
      </c>
      <c r="M9" s="31">
        <f>2951</f>
        <v>2951</v>
      </c>
      <c r="N9" s="32" t="s">
        <v>1114</v>
      </c>
      <c r="O9" s="31">
        <f>2813</f>
        <v>2813</v>
      </c>
      <c r="P9" s="32" t="s">
        <v>682</v>
      </c>
      <c r="Q9" s="31">
        <f>2939</f>
        <v>2939</v>
      </c>
      <c r="R9" s="32" t="s">
        <v>1114</v>
      </c>
      <c r="S9" s="33">
        <f>2880.7</f>
        <v>2880.7</v>
      </c>
      <c r="T9" s="30">
        <f>15704534</f>
        <v>15704534</v>
      </c>
      <c r="U9" s="30">
        <f>9488803</f>
        <v>9488803</v>
      </c>
      <c r="V9" s="30">
        <f>45287768521</f>
        <v>45287768521</v>
      </c>
      <c r="W9" s="30">
        <f>27377948376</f>
        <v>27377948376</v>
      </c>
      <c r="X9" s="34">
        <f>20</f>
        <v>20</v>
      </c>
    </row>
    <row r="10" spans="1:24">
      <c r="A10" s="25" t="s">
        <v>1172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41260</f>
        <v>41260</v>
      </c>
      <c r="L10" s="32" t="s">
        <v>1145</v>
      </c>
      <c r="M10" s="31">
        <f>41760</f>
        <v>41760</v>
      </c>
      <c r="N10" s="32" t="s">
        <v>1145</v>
      </c>
      <c r="O10" s="31">
        <f>40330</f>
        <v>40330</v>
      </c>
      <c r="P10" s="32" t="s">
        <v>1112</v>
      </c>
      <c r="Q10" s="31">
        <f>41150</f>
        <v>41150</v>
      </c>
      <c r="R10" s="32" t="s">
        <v>1114</v>
      </c>
      <c r="S10" s="33">
        <f>40928</f>
        <v>40928</v>
      </c>
      <c r="T10" s="30">
        <f>2017</f>
        <v>2017</v>
      </c>
      <c r="U10" s="30" t="str">
        <f>"－"</f>
        <v>－</v>
      </c>
      <c r="V10" s="30">
        <f>82489320</f>
        <v>82489320</v>
      </c>
      <c r="W10" s="30" t="str">
        <f>"－"</f>
        <v>－</v>
      </c>
      <c r="X10" s="34">
        <f>20</f>
        <v>20</v>
      </c>
    </row>
    <row r="11" spans="1:24">
      <c r="A11" s="25" t="s">
        <v>1172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1489.5</f>
        <v>1489.5</v>
      </c>
      <c r="L11" s="32" t="s">
        <v>1145</v>
      </c>
      <c r="M11" s="31">
        <f>1518.5</f>
        <v>1518.5</v>
      </c>
      <c r="N11" s="32" t="s">
        <v>1114</v>
      </c>
      <c r="O11" s="31">
        <f>1430</f>
        <v>1430</v>
      </c>
      <c r="P11" s="32" t="s">
        <v>682</v>
      </c>
      <c r="Q11" s="31">
        <f>1510</f>
        <v>1510</v>
      </c>
      <c r="R11" s="32" t="s">
        <v>1114</v>
      </c>
      <c r="S11" s="33">
        <f>1472.03</f>
        <v>1472.03</v>
      </c>
      <c r="T11" s="30">
        <f>405140</f>
        <v>405140</v>
      </c>
      <c r="U11" s="30">
        <f>42210</f>
        <v>42210</v>
      </c>
      <c r="V11" s="30">
        <f>593706104</f>
        <v>593706104</v>
      </c>
      <c r="W11" s="30">
        <f>62931114</f>
        <v>62931114</v>
      </c>
      <c r="X11" s="34">
        <f>20</f>
        <v>20</v>
      </c>
    </row>
    <row r="12" spans="1:24">
      <c r="A12" s="25" t="s">
        <v>1172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488.9</f>
        <v>488.9</v>
      </c>
      <c r="L12" s="32" t="s">
        <v>1145</v>
      </c>
      <c r="M12" s="31">
        <f>488.9</f>
        <v>488.9</v>
      </c>
      <c r="N12" s="32" t="s">
        <v>1145</v>
      </c>
      <c r="O12" s="31">
        <f>460.5</f>
        <v>460.5</v>
      </c>
      <c r="P12" s="32" t="s">
        <v>679</v>
      </c>
      <c r="Q12" s="31">
        <f>473.9</f>
        <v>473.9</v>
      </c>
      <c r="R12" s="32" t="s">
        <v>676</v>
      </c>
      <c r="S12" s="33">
        <f>477.78</f>
        <v>477.78</v>
      </c>
      <c r="T12" s="30">
        <f>95000</f>
        <v>95000</v>
      </c>
      <c r="U12" s="30">
        <f>1000</f>
        <v>1000</v>
      </c>
      <c r="V12" s="30">
        <f>45593700</f>
        <v>45593700</v>
      </c>
      <c r="W12" s="30">
        <f>482100</f>
        <v>482100</v>
      </c>
      <c r="X12" s="34">
        <f>16</f>
        <v>16</v>
      </c>
    </row>
    <row r="13" spans="1:24">
      <c r="A13" s="25" t="s">
        <v>1172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40310</f>
        <v>40310</v>
      </c>
      <c r="L13" s="32" t="s">
        <v>1145</v>
      </c>
      <c r="M13" s="31">
        <f>41420</f>
        <v>41420</v>
      </c>
      <c r="N13" s="32" t="s">
        <v>1114</v>
      </c>
      <c r="O13" s="31">
        <f>39500</f>
        <v>39500</v>
      </c>
      <c r="P13" s="32" t="s">
        <v>682</v>
      </c>
      <c r="Q13" s="31">
        <f>41200</f>
        <v>41200</v>
      </c>
      <c r="R13" s="32" t="s">
        <v>1114</v>
      </c>
      <c r="S13" s="33">
        <f>40425.5</f>
        <v>40425.5</v>
      </c>
      <c r="T13" s="30">
        <f>863569</f>
        <v>863569</v>
      </c>
      <c r="U13" s="30">
        <f>347141</f>
        <v>347141</v>
      </c>
      <c r="V13" s="30">
        <f>34994881967</f>
        <v>34994881967</v>
      </c>
      <c r="W13" s="30">
        <f>14159093697</f>
        <v>14159093697</v>
      </c>
      <c r="X13" s="34">
        <f>20</f>
        <v>20</v>
      </c>
    </row>
    <row r="14" spans="1:24">
      <c r="A14" s="25" t="s">
        <v>1172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40470</f>
        <v>40470</v>
      </c>
      <c r="L14" s="32" t="s">
        <v>1145</v>
      </c>
      <c r="M14" s="31">
        <f>41590</f>
        <v>41590</v>
      </c>
      <c r="N14" s="32" t="s">
        <v>1114</v>
      </c>
      <c r="O14" s="31">
        <f>39630</f>
        <v>39630</v>
      </c>
      <c r="P14" s="32" t="s">
        <v>682</v>
      </c>
      <c r="Q14" s="31">
        <f>41340</f>
        <v>41340</v>
      </c>
      <c r="R14" s="32" t="s">
        <v>1114</v>
      </c>
      <c r="S14" s="33">
        <f>40576</f>
        <v>40576</v>
      </c>
      <c r="T14" s="30">
        <f>4803231</f>
        <v>4803231</v>
      </c>
      <c r="U14" s="30">
        <f>177508</f>
        <v>177508</v>
      </c>
      <c r="V14" s="30">
        <f>194793146419</f>
        <v>194793146419</v>
      </c>
      <c r="W14" s="30">
        <f>7188415379</f>
        <v>7188415379</v>
      </c>
      <c r="X14" s="34">
        <f>20</f>
        <v>20</v>
      </c>
    </row>
    <row r="15" spans="1:24">
      <c r="A15" s="25" t="s">
        <v>1172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7980</f>
        <v>7980</v>
      </c>
      <c r="L15" s="32" t="s">
        <v>1145</v>
      </c>
      <c r="M15" s="31">
        <f>8130</f>
        <v>8130</v>
      </c>
      <c r="N15" s="32" t="s">
        <v>1145</v>
      </c>
      <c r="O15" s="31">
        <f>7700</f>
        <v>7700</v>
      </c>
      <c r="P15" s="32" t="s">
        <v>676</v>
      </c>
      <c r="Q15" s="31">
        <f>7889</f>
        <v>7889</v>
      </c>
      <c r="R15" s="32" t="s">
        <v>1114</v>
      </c>
      <c r="S15" s="33">
        <f>7897.2</f>
        <v>7897.2</v>
      </c>
      <c r="T15" s="30">
        <f>8230</f>
        <v>8230</v>
      </c>
      <c r="U15" s="30" t="str">
        <f>"－"</f>
        <v>－</v>
      </c>
      <c r="V15" s="30">
        <f>64780280</f>
        <v>64780280</v>
      </c>
      <c r="W15" s="30" t="str">
        <f>"－"</f>
        <v>－</v>
      </c>
      <c r="X15" s="34">
        <f>20</f>
        <v>20</v>
      </c>
    </row>
    <row r="16" spans="1:24">
      <c r="A16" s="25" t="s">
        <v>1172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1172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240</f>
        <v>240</v>
      </c>
      <c r="L17" s="32" t="s">
        <v>1145</v>
      </c>
      <c r="M17" s="31">
        <f>241.8</f>
        <v>241.8</v>
      </c>
      <c r="N17" s="32" t="s">
        <v>1145</v>
      </c>
      <c r="O17" s="31">
        <f>219.9</f>
        <v>219.9</v>
      </c>
      <c r="P17" s="32" t="s">
        <v>680</v>
      </c>
      <c r="Q17" s="31">
        <f>234</f>
        <v>234</v>
      </c>
      <c r="R17" s="32" t="s">
        <v>1114</v>
      </c>
      <c r="S17" s="33">
        <f>231.35</f>
        <v>231.35</v>
      </c>
      <c r="T17" s="30">
        <f>1240100</f>
        <v>1240100</v>
      </c>
      <c r="U17" s="30">
        <f>800</f>
        <v>800</v>
      </c>
      <c r="V17" s="30">
        <f>285292200</f>
        <v>285292200</v>
      </c>
      <c r="W17" s="30">
        <f>187370</f>
        <v>187370</v>
      </c>
      <c r="X17" s="34">
        <f>20</f>
        <v>20</v>
      </c>
    </row>
    <row r="18" spans="1:24">
      <c r="A18" s="25" t="s">
        <v>1172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34070</f>
        <v>34070</v>
      </c>
      <c r="L18" s="32" t="s">
        <v>1145</v>
      </c>
      <c r="M18" s="31">
        <f>34810</f>
        <v>34810</v>
      </c>
      <c r="N18" s="32" t="s">
        <v>1112</v>
      </c>
      <c r="O18" s="31">
        <f>33300</f>
        <v>33300</v>
      </c>
      <c r="P18" s="32" t="s">
        <v>759</v>
      </c>
      <c r="Q18" s="31">
        <f>34640</f>
        <v>34640</v>
      </c>
      <c r="R18" s="32" t="s">
        <v>1114</v>
      </c>
      <c r="S18" s="33">
        <f>34018.5</f>
        <v>34018.5</v>
      </c>
      <c r="T18" s="30">
        <f>166876</f>
        <v>166876</v>
      </c>
      <c r="U18" s="30">
        <f>20</f>
        <v>20</v>
      </c>
      <c r="V18" s="30">
        <f>5668064180</f>
        <v>5668064180</v>
      </c>
      <c r="W18" s="30">
        <f>632800</f>
        <v>632800</v>
      </c>
      <c r="X18" s="34">
        <f>20</f>
        <v>20</v>
      </c>
    </row>
    <row r="19" spans="1:24">
      <c r="A19" s="25" t="s">
        <v>1172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8969</f>
        <v>8969</v>
      </c>
      <c r="L19" s="32" t="s">
        <v>1145</v>
      </c>
      <c r="M19" s="31">
        <f>9195</f>
        <v>9195</v>
      </c>
      <c r="N19" s="32" t="s">
        <v>1112</v>
      </c>
      <c r="O19" s="31">
        <f>8804</f>
        <v>8804</v>
      </c>
      <c r="P19" s="32" t="s">
        <v>759</v>
      </c>
      <c r="Q19" s="31">
        <f>9144</f>
        <v>9144</v>
      </c>
      <c r="R19" s="32" t="s">
        <v>1114</v>
      </c>
      <c r="S19" s="33">
        <f>8992.85</f>
        <v>8992.85</v>
      </c>
      <c r="T19" s="30">
        <f>400050</f>
        <v>400050</v>
      </c>
      <c r="U19" s="30">
        <f>5860</f>
        <v>5860</v>
      </c>
      <c r="V19" s="30">
        <f>3594274450</f>
        <v>3594274450</v>
      </c>
      <c r="W19" s="30">
        <f>51782690</f>
        <v>51782690</v>
      </c>
      <c r="X19" s="34">
        <f>20</f>
        <v>20</v>
      </c>
    </row>
    <row r="20" spans="1:24">
      <c r="A20" s="25" t="s">
        <v>1172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40390</f>
        <v>40390</v>
      </c>
      <c r="L20" s="32" t="s">
        <v>1145</v>
      </c>
      <c r="M20" s="31">
        <f>41490</f>
        <v>41490</v>
      </c>
      <c r="N20" s="32" t="s">
        <v>1114</v>
      </c>
      <c r="O20" s="31">
        <f>39540</f>
        <v>39540</v>
      </c>
      <c r="P20" s="32" t="s">
        <v>682</v>
      </c>
      <c r="Q20" s="31">
        <f>41240</f>
        <v>41240</v>
      </c>
      <c r="R20" s="32" t="s">
        <v>1114</v>
      </c>
      <c r="S20" s="33">
        <f>40481</f>
        <v>40481</v>
      </c>
      <c r="T20" s="30">
        <f>1062434</f>
        <v>1062434</v>
      </c>
      <c r="U20" s="30">
        <f>461839</f>
        <v>461839</v>
      </c>
      <c r="V20" s="30">
        <f>43022834890</f>
        <v>43022834890</v>
      </c>
      <c r="W20" s="30">
        <f>18693751640</f>
        <v>18693751640</v>
      </c>
      <c r="X20" s="34">
        <f>20</f>
        <v>20</v>
      </c>
    </row>
    <row r="21" spans="1:24">
      <c r="A21" s="25" t="s">
        <v>1172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40500</f>
        <v>40500</v>
      </c>
      <c r="L21" s="32" t="s">
        <v>1145</v>
      </c>
      <c r="M21" s="31">
        <f>41630</f>
        <v>41630</v>
      </c>
      <c r="N21" s="32" t="s">
        <v>1114</v>
      </c>
      <c r="O21" s="31">
        <f>39670</f>
        <v>39670</v>
      </c>
      <c r="P21" s="32" t="s">
        <v>682</v>
      </c>
      <c r="Q21" s="31">
        <f>41380</f>
        <v>41380</v>
      </c>
      <c r="R21" s="32" t="s">
        <v>1114</v>
      </c>
      <c r="S21" s="33">
        <f>40626.5</f>
        <v>40626.5</v>
      </c>
      <c r="T21" s="30">
        <f>823023</f>
        <v>823023</v>
      </c>
      <c r="U21" s="30">
        <f>270859</f>
        <v>270859</v>
      </c>
      <c r="V21" s="30">
        <f>33501400300</f>
        <v>33501400300</v>
      </c>
      <c r="W21" s="30">
        <f>11047682760</f>
        <v>11047682760</v>
      </c>
      <c r="X21" s="34">
        <f>20</f>
        <v>20</v>
      </c>
    </row>
    <row r="22" spans="1:24">
      <c r="A22" s="25" t="s">
        <v>1172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1075</f>
        <v>1075</v>
      </c>
      <c r="L22" s="32" t="s">
        <v>1145</v>
      </c>
      <c r="M22" s="31">
        <f>1102</f>
        <v>1102</v>
      </c>
      <c r="N22" s="32" t="s">
        <v>1114</v>
      </c>
      <c r="O22" s="31">
        <f>1058</f>
        <v>1058</v>
      </c>
      <c r="P22" s="32" t="s">
        <v>674</v>
      </c>
      <c r="Q22" s="31">
        <f>1100</f>
        <v>1100</v>
      </c>
      <c r="R22" s="32" t="s">
        <v>1114</v>
      </c>
      <c r="S22" s="33">
        <f>1078.55</f>
        <v>1078.55</v>
      </c>
      <c r="T22" s="30">
        <f>4988434</f>
        <v>4988434</v>
      </c>
      <c r="U22" s="30">
        <f>4600004</f>
        <v>4600004</v>
      </c>
      <c r="V22" s="30">
        <f>5396095765</f>
        <v>5396095765</v>
      </c>
      <c r="W22" s="30">
        <f>4977480356</f>
        <v>4977480356</v>
      </c>
      <c r="X22" s="34">
        <f>20</f>
        <v>20</v>
      </c>
    </row>
    <row r="23" spans="1:24">
      <c r="A23" s="25" t="s">
        <v>1172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1872</f>
        <v>1872</v>
      </c>
      <c r="L23" s="32" t="s">
        <v>1145</v>
      </c>
      <c r="M23" s="31">
        <f>1889</f>
        <v>1889</v>
      </c>
      <c r="N23" s="32" t="s">
        <v>676</v>
      </c>
      <c r="O23" s="31">
        <f>1837.5</f>
        <v>1837.5</v>
      </c>
      <c r="P23" s="32" t="s">
        <v>1123</v>
      </c>
      <c r="Q23" s="31">
        <f>1863</f>
        <v>1863</v>
      </c>
      <c r="R23" s="32" t="s">
        <v>1114</v>
      </c>
      <c r="S23" s="33">
        <f>1861.2</f>
        <v>1861.2</v>
      </c>
      <c r="T23" s="30">
        <f>12335040</f>
        <v>12335040</v>
      </c>
      <c r="U23" s="30">
        <f>4722640</f>
        <v>4722640</v>
      </c>
      <c r="V23" s="30">
        <f>22959542843</f>
        <v>22959542843</v>
      </c>
      <c r="W23" s="30">
        <f>8800335098</f>
        <v>8800335098</v>
      </c>
      <c r="X23" s="34">
        <f>20</f>
        <v>20</v>
      </c>
    </row>
    <row r="24" spans="1:24">
      <c r="A24" s="25" t="s">
        <v>1172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1771</f>
        <v>1771</v>
      </c>
      <c r="L24" s="32" t="s">
        <v>1145</v>
      </c>
      <c r="M24" s="31">
        <f>1781.5</f>
        <v>1781.5</v>
      </c>
      <c r="N24" s="32" t="s">
        <v>676</v>
      </c>
      <c r="O24" s="31">
        <f>1734</f>
        <v>1734</v>
      </c>
      <c r="P24" s="32" t="s">
        <v>1123</v>
      </c>
      <c r="Q24" s="31">
        <f>1755</f>
        <v>1755</v>
      </c>
      <c r="R24" s="32" t="s">
        <v>1114</v>
      </c>
      <c r="S24" s="33">
        <f>1754.88</f>
        <v>1754.88</v>
      </c>
      <c r="T24" s="30">
        <f>1487200</f>
        <v>1487200</v>
      </c>
      <c r="U24" s="30">
        <f>238800</f>
        <v>238800</v>
      </c>
      <c r="V24" s="30">
        <f>2612605478</f>
        <v>2612605478</v>
      </c>
      <c r="W24" s="30">
        <f>419199778</f>
        <v>419199778</v>
      </c>
      <c r="X24" s="34">
        <f>20</f>
        <v>20</v>
      </c>
    </row>
    <row r="25" spans="1:24">
      <c r="A25" s="25" t="s">
        <v>1172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40290</f>
        <v>40290</v>
      </c>
      <c r="L25" s="32" t="s">
        <v>1145</v>
      </c>
      <c r="M25" s="31">
        <f>41370</f>
        <v>41370</v>
      </c>
      <c r="N25" s="32" t="s">
        <v>1114</v>
      </c>
      <c r="O25" s="31">
        <f>39450</f>
        <v>39450</v>
      </c>
      <c r="P25" s="32" t="s">
        <v>682</v>
      </c>
      <c r="Q25" s="31">
        <f>41130</f>
        <v>41130</v>
      </c>
      <c r="R25" s="32" t="s">
        <v>1114</v>
      </c>
      <c r="S25" s="33">
        <f>40387</f>
        <v>40387</v>
      </c>
      <c r="T25" s="30">
        <f>443386</f>
        <v>443386</v>
      </c>
      <c r="U25" s="30">
        <f>52499</f>
        <v>52499</v>
      </c>
      <c r="V25" s="30">
        <f>17909679132</f>
        <v>17909679132</v>
      </c>
      <c r="W25" s="30">
        <f>2130386422</f>
        <v>2130386422</v>
      </c>
      <c r="X25" s="34">
        <f>20</f>
        <v>20</v>
      </c>
    </row>
    <row r="26" spans="1:24">
      <c r="A26" s="25" t="s">
        <v>1172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2919.5</f>
        <v>2919.5</v>
      </c>
      <c r="L26" s="32" t="s">
        <v>1145</v>
      </c>
      <c r="M26" s="31">
        <f>2952.5</f>
        <v>2952.5</v>
      </c>
      <c r="N26" s="32" t="s">
        <v>1114</v>
      </c>
      <c r="O26" s="31">
        <f>2813</f>
        <v>2813</v>
      </c>
      <c r="P26" s="32" t="s">
        <v>682</v>
      </c>
      <c r="Q26" s="31">
        <f>2938</f>
        <v>2938</v>
      </c>
      <c r="R26" s="32" t="s">
        <v>1114</v>
      </c>
      <c r="S26" s="33">
        <f>2881.75</f>
        <v>2881.75</v>
      </c>
      <c r="T26" s="30">
        <f>5638240</f>
        <v>5638240</v>
      </c>
      <c r="U26" s="30">
        <f>3037040</f>
        <v>3037040</v>
      </c>
      <c r="V26" s="30">
        <f>16271072640</f>
        <v>16271072640</v>
      </c>
      <c r="W26" s="30">
        <f>8742843350</f>
        <v>8742843350</v>
      </c>
      <c r="X26" s="34">
        <f>20</f>
        <v>20</v>
      </c>
    </row>
    <row r="27" spans="1:24">
      <c r="A27" s="25" t="s">
        <v>1172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16505</f>
        <v>16505</v>
      </c>
      <c r="L27" s="32" t="s">
        <v>1145</v>
      </c>
      <c r="M27" s="31">
        <f>17020</f>
        <v>17020</v>
      </c>
      <c r="N27" s="32" t="s">
        <v>1114</v>
      </c>
      <c r="O27" s="31">
        <f>16330</f>
        <v>16330</v>
      </c>
      <c r="P27" s="32" t="s">
        <v>674</v>
      </c>
      <c r="Q27" s="31">
        <f>17020</f>
        <v>17020</v>
      </c>
      <c r="R27" s="32" t="s">
        <v>1114</v>
      </c>
      <c r="S27" s="33">
        <f>16647.89</f>
        <v>16647.89</v>
      </c>
      <c r="T27" s="30">
        <f>798</f>
        <v>798</v>
      </c>
      <c r="U27" s="30" t="str">
        <f>"－"</f>
        <v>－</v>
      </c>
      <c r="V27" s="30">
        <f>13270695</f>
        <v>13270695</v>
      </c>
      <c r="W27" s="30" t="str">
        <f>"－"</f>
        <v>－</v>
      </c>
      <c r="X27" s="34">
        <f>19</f>
        <v>19</v>
      </c>
    </row>
    <row r="28" spans="1:24">
      <c r="A28" s="25" t="s">
        <v>1172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368.2</f>
        <v>368.2</v>
      </c>
      <c r="L28" s="32" t="s">
        <v>1145</v>
      </c>
      <c r="M28" s="31">
        <f>395.8</f>
        <v>395.8</v>
      </c>
      <c r="N28" s="32" t="s">
        <v>682</v>
      </c>
      <c r="O28" s="31">
        <f>358.6</f>
        <v>358.6</v>
      </c>
      <c r="P28" s="32" t="s">
        <v>1114</v>
      </c>
      <c r="Q28" s="31">
        <f>362.3</f>
        <v>362.3</v>
      </c>
      <c r="R28" s="32" t="s">
        <v>1114</v>
      </c>
      <c r="S28" s="33">
        <f>377.33</f>
        <v>377.33</v>
      </c>
      <c r="T28" s="30">
        <f>20942920</f>
        <v>20942920</v>
      </c>
      <c r="U28" s="30">
        <f>3210</f>
        <v>3210</v>
      </c>
      <c r="V28" s="30">
        <f>7843080364</f>
        <v>7843080364</v>
      </c>
      <c r="W28" s="30">
        <f>1211971</f>
        <v>1211971</v>
      </c>
      <c r="X28" s="34">
        <f>20</f>
        <v>20</v>
      </c>
    </row>
    <row r="29" spans="1:24">
      <c r="A29" s="25" t="s">
        <v>1172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146</f>
        <v>146</v>
      </c>
      <c r="L29" s="32" t="s">
        <v>1145</v>
      </c>
      <c r="M29" s="31">
        <f>153</f>
        <v>153</v>
      </c>
      <c r="N29" s="32" t="s">
        <v>682</v>
      </c>
      <c r="O29" s="31">
        <f>138</f>
        <v>138</v>
      </c>
      <c r="P29" s="32" t="s">
        <v>676</v>
      </c>
      <c r="Q29" s="31">
        <f>139</f>
        <v>139</v>
      </c>
      <c r="R29" s="32" t="s">
        <v>1114</v>
      </c>
      <c r="S29" s="33">
        <f>145.3</f>
        <v>145.30000000000001</v>
      </c>
      <c r="T29" s="30">
        <f>920373299</f>
        <v>920373299</v>
      </c>
      <c r="U29" s="30">
        <f>14512141</f>
        <v>14512141</v>
      </c>
      <c r="V29" s="30">
        <f>133953096779</f>
        <v>133953096779</v>
      </c>
      <c r="W29" s="30">
        <f>2100205077</f>
        <v>2100205077</v>
      </c>
      <c r="X29" s="34">
        <f>20</f>
        <v>20</v>
      </c>
    </row>
    <row r="30" spans="1:24">
      <c r="A30" s="25" t="s">
        <v>1172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52400</f>
        <v>52400</v>
      </c>
      <c r="L30" s="32" t="s">
        <v>1145</v>
      </c>
      <c r="M30" s="31">
        <f>55080</f>
        <v>55080</v>
      </c>
      <c r="N30" s="32" t="s">
        <v>1114</v>
      </c>
      <c r="O30" s="31">
        <f>50100</f>
        <v>50100</v>
      </c>
      <c r="P30" s="32" t="s">
        <v>682</v>
      </c>
      <c r="Q30" s="31">
        <f>54600</f>
        <v>54600</v>
      </c>
      <c r="R30" s="32" t="s">
        <v>1114</v>
      </c>
      <c r="S30" s="33">
        <f>52574.5</f>
        <v>52574.5</v>
      </c>
      <c r="T30" s="30">
        <f>312446</f>
        <v>312446</v>
      </c>
      <c r="U30" s="30">
        <f>26</f>
        <v>26</v>
      </c>
      <c r="V30" s="30">
        <f>16408130900</f>
        <v>16408130900</v>
      </c>
      <c r="W30" s="30">
        <f>1391510</f>
        <v>1391510</v>
      </c>
      <c r="X30" s="34">
        <f>20</f>
        <v>20</v>
      </c>
    </row>
    <row r="31" spans="1:24">
      <c r="A31" s="25" t="s">
        <v>1172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357.5</f>
        <v>357.5</v>
      </c>
      <c r="L31" s="32" t="s">
        <v>1145</v>
      </c>
      <c r="M31" s="31">
        <f>372.5</f>
        <v>372.5</v>
      </c>
      <c r="N31" s="32" t="s">
        <v>682</v>
      </c>
      <c r="O31" s="31">
        <f>337.6</f>
        <v>337.6</v>
      </c>
      <c r="P31" s="32" t="s">
        <v>1114</v>
      </c>
      <c r="Q31" s="31">
        <f>341.7</f>
        <v>341.7</v>
      </c>
      <c r="R31" s="32" t="s">
        <v>1114</v>
      </c>
      <c r="S31" s="33">
        <f>355.4</f>
        <v>355.4</v>
      </c>
      <c r="T31" s="30">
        <f>542821030</f>
        <v>542821030</v>
      </c>
      <c r="U31" s="30">
        <f>4974110</f>
        <v>4974110</v>
      </c>
      <c r="V31" s="30">
        <f>192578217146</f>
        <v>192578217146</v>
      </c>
      <c r="W31" s="30">
        <f>1766973606</f>
        <v>1766973606</v>
      </c>
      <c r="X31" s="34">
        <f>20</f>
        <v>20</v>
      </c>
    </row>
    <row r="32" spans="1:24">
      <c r="A32" s="25" t="s">
        <v>1172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26245</f>
        <v>26245</v>
      </c>
      <c r="L32" s="32" t="s">
        <v>1145</v>
      </c>
      <c r="M32" s="31">
        <f>26580</f>
        <v>26580</v>
      </c>
      <c r="N32" s="32" t="s">
        <v>1114</v>
      </c>
      <c r="O32" s="31">
        <f>25385</f>
        <v>25385</v>
      </c>
      <c r="P32" s="32" t="s">
        <v>682</v>
      </c>
      <c r="Q32" s="31">
        <f>26520</f>
        <v>26520</v>
      </c>
      <c r="R32" s="32" t="s">
        <v>1114</v>
      </c>
      <c r="S32" s="33">
        <f>25981.5</f>
        <v>25981.5</v>
      </c>
      <c r="T32" s="30">
        <f>10647</f>
        <v>10647</v>
      </c>
      <c r="U32" s="30">
        <f>2</f>
        <v>2</v>
      </c>
      <c r="V32" s="30">
        <f>277621885</f>
        <v>277621885</v>
      </c>
      <c r="W32" s="30">
        <f>52175</f>
        <v>52175</v>
      </c>
      <c r="X32" s="34">
        <f>20</f>
        <v>20</v>
      </c>
    </row>
    <row r="33" spans="1:24">
      <c r="A33" s="25" t="s">
        <v>1172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43430</f>
        <v>43430</v>
      </c>
      <c r="L33" s="32" t="s">
        <v>1145</v>
      </c>
      <c r="M33" s="31">
        <f>45710</f>
        <v>45710</v>
      </c>
      <c r="N33" s="32" t="s">
        <v>1114</v>
      </c>
      <c r="O33" s="31">
        <f>41570</f>
        <v>41570</v>
      </c>
      <c r="P33" s="32" t="s">
        <v>682</v>
      </c>
      <c r="Q33" s="31">
        <f>45210</f>
        <v>45210</v>
      </c>
      <c r="R33" s="32" t="s">
        <v>1114</v>
      </c>
      <c r="S33" s="33">
        <f>43624.5</f>
        <v>43624.5</v>
      </c>
      <c r="T33" s="30">
        <f>678108</f>
        <v>678108</v>
      </c>
      <c r="U33" s="30">
        <f>14592</f>
        <v>14592</v>
      </c>
      <c r="V33" s="30">
        <f>29569908550</f>
        <v>29569908550</v>
      </c>
      <c r="W33" s="30">
        <f>634562670</f>
        <v>634562670</v>
      </c>
      <c r="X33" s="34">
        <f>20</f>
        <v>20</v>
      </c>
    </row>
    <row r="34" spans="1:24">
      <c r="A34" s="25" t="s">
        <v>1172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380</f>
        <v>380</v>
      </c>
      <c r="L34" s="32" t="s">
        <v>1145</v>
      </c>
      <c r="M34" s="31">
        <f>396</f>
        <v>396</v>
      </c>
      <c r="N34" s="32" t="s">
        <v>682</v>
      </c>
      <c r="O34" s="31">
        <f>359</f>
        <v>359</v>
      </c>
      <c r="P34" s="32" t="s">
        <v>676</v>
      </c>
      <c r="Q34" s="31">
        <f>363</f>
        <v>363</v>
      </c>
      <c r="R34" s="32" t="s">
        <v>1114</v>
      </c>
      <c r="S34" s="33">
        <f>377.5</f>
        <v>377.5</v>
      </c>
      <c r="T34" s="30">
        <f>29449826</f>
        <v>29449826</v>
      </c>
      <c r="U34" s="30">
        <f>447860</f>
        <v>447860</v>
      </c>
      <c r="V34" s="30">
        <f>11067420193</f>
        <v>11067420193</v>
      </c>
      <c r="W34" s="30">
        <f>168592119</f>
        <v>168592119</v>
      </c>
      <c r="X34" s="34">
        <f>20</f>
        <v>20</v>
      </c>
    </row>
    <row r="35" spans="1:24">
      <c r="A35" s="25" t="s">
        <v>1172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39560</f>
        <v>39560</v>
      </c>
      <c r="L35" s="32" t="s">
        <v>1145</v>
      </c>
      <c r="M35" s="31">
        <f>40360</f>
        <v>40360</v>
      </c>
      <c r="N35" s="32" t="s">
        <v>1114</v>
      </c>
      <c r="O35" s="31">
        <f>36680</f>
        <v>36680</v>
      </c>
      <c r="P35" s="32" t="s">
        <v>682</v>
      </c>
      <c r="Q35" s="31">
        <f>39970</f>
        <v>39970</v>
      </c>
      <c r="R35" s="32" t="s">
        <v>1114</v>
      </c>
      <c r="S35" s="33">
        <f>38545</f>
        <v>38545</v>
      </c>
      <c r="T35" s="30">
        <f>137500</f>
        <v>137500</v>
      </c>
      <c r="U35" s="30">
        <f>4415</f>
        <v>4415</v>
      </c>
      <c r="V35" s="30">
        <f>5320178340</f>
        <v>5320178340</v>
      </c>
      <c r="W35" s="30">
        <f>169741340</f>
        <v>169741340</v>
      </c>
      <c r="X35" s="34">
        <f>20</f>
        <v>20</v>
      </c>
    </row>
    <row r="36" spans="1:24">
      <c r="A36" s="25" t="s">
        <v>1172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534</f>
        <v>534</v>
      </c>
      <c r="L36" s="32" t="s">
        <v>1145</v>
      </c>
      <c r="M36" s="31">
        <f>574</f>
        <v>574</v>
      </c>
      <c r="N36" s="32" t="s">
        <v>682</v>
      </c>
      <c r="O36" s="31">
        <f>520</f>
        <v>520</v>
      </c>
      <c r="P36" s="32" t="s">
        <v>1114</v>
      </c>
      <c r="Q36" s="31">
        <f>524</f>
        <v>524</v>
      </c>
      <c r="R36" s="32" t="s">
        <v>1114</v>
      </c>
      <c r="S36" s="33">
        <f>547.1</f>
        <v>547.1</v>
      </c>
      <c r="T36" s="30">
        <f>2098575</f>
        <v>2098575</v>
      </c>
      <c r="U36" s="30">
        <f>23275</f>
        <v>23275</v>
      </c>
      <c r="V36" s="30">
        <f>1141031331</f>
        <v>1141031331</v>
      </c>
      <c r="W36" s="30">
        <f>12757027</f>
        <v>12757027</v>
      </c>
      <c r="X36" s="34">
        <f>20</f>
        <v>20</v>
      </c>
    </row>
    <row r="37" spans="1:24">
      <c r="A37" s="25" t="s">
        <v>1172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39070</f>
        <v>39070</v>
      </c>
      <c r="L37" s="32" t="s">
        <v>1145</v>
      </c>
      <c r="M37" s="31">
        <f>40130</f>
        <v>40130</v>
      </c>
      <c r="N37" s="32" t="s">
        <v>1114</v>
      </c>
      <c r="O37" s="31">
        <f>38270</f>
        <v>38270</v>
      </c>
      <c r="P37" s="32" t="s">
        <v>682</v>
      </c>
      <c r="Q37" s="31">
        <f>39930</f>
        <v>39930</v>
      </c>
      <c r="R37" s="32" t="s">
        <v>1114</v>
      </c>
      <c r="S37" s="33">
        <f>39184.5</f>
        <v>39184.5</v>
      </c>
      <c r="T37" s="30">
        <f>56008</f>
        <v>56008</v>
      </c>
      <c r="U37" s="30">
        <f>6735</f>
        <v>6735</v>
      </c>
      <c r="V37" s="30">
        <f>2191899248</f>
        <v>2191899248</v>
      </c>
      <c r="W37" s="30">
        <f>261889038</f>
        <v>261889038</v>
      </c>
      <c r="X37" s="34">
        <f>20</f>
        <v>20</v>
      </c>
    </row>
    <row r="38" spans="1:24">
      <c r="A38" s="25" t="s">
        <v>1172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39170</f>
        <v>39170</v>
      </c>
      <c r="L38" s="32" t="s">
        <v>1145</v>
      </c>
      <c r="M38" s="31">
        <f>40210</f>
        <v>40210</v>
      </c>
      <c r="N38" s="32" t="s">
        <v>676</v>
      </c>
      <c r="O38" s="31">
        <f>38340</f>
        <v>38340</v>
      </c>
      <c r="P38" s="32" t="s">
        <v>682</v>
      </c>
      <c r="Q38" s="31">
        <f>40050</f>
        <v>40050</v>
      </c>
      <c r="R38" s="32" t="s">
        <v>1114</v>
      </c>
      <c r="S38" s="33">
        <f>39257.5</f>
        <v>39257.5</v>
      </c>
      <c r="T38" s="30">
        <f>48980</f>
        <v>48980</v>
      </c>
      <c r="U38" s="30">
        <f>22055</f>
        <v>22055</v>
      </c>
      <c r="V38" s="30">
        <f>1936887630</f>
        <v>1936887630</v>
      </c>
      <c r="W38" s="30">
        <f>871691800</f>
        <v>871691800</v>
      </c>
      <c r="X38" s="34">
        <f>20</f>
        <v>20</v>
      </c>
    </row>
    <row r="39" spans="1:24">
      <c r="A39" s="25" t="s">
        <v>1172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1793.5</f>
        <v>1793.5</v>
      </c>
      <c r="L39" s="32" t="s">
        <v>1145</v>
      </c>
      <c r="M39" s="31">
        <f>1800</f>
        <v>1800</v>
      </c>
      <c r="N39" s="32" t="s">
        <v>1145</v>
      </c>
      <c r="O39" s="31">
        <f>1748</f>
        <v>1748</v>
      </c>
      <c r="P39" s="32" t="s">
        <v>682</v>
      </c>
      <c r="Q39" s="31">
        <f>1772</f>
        <v>1772</v>
      </c>
      <c r="R39" s="32" t="s">
        <v>1114</v>
      </c>
      <c r="S39" s="33">
        <f>1771.93</f>
        <v>1771.93</v>
      </c>
      <c r="T39" s="30">
        <f>277240</f>
        <v>277240</v>
      </c>
      <c r="U39" s="30">
        <f>10</f>
        <v>10</v>
      </c>
      <c r="V39" s="30">
        <f>490299200</f>
        <v>490299200</v>
      </c>
      <c r="W39" s="30">
        <f>17645</f>
        <v>17645</v>
      </c>
      <c r="X39" s="34">
        <f>20</f>
        <v>20</v>
      </c>
    </row>
    <row r="40" spans="1:24">
      <c r="A40" s="25" t="s">
        <v>1172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2219.5</f>
        <v>2219.5</v>
      </c>
      <c r="L40" s="32" t="s">
        <v>1145</v>
      </c>
      <c r="M40" s="31">
        <f>2230</f>
        <v>2230</v>
      </c>
      <c r="N40" s="32" t="s">
        <v>1111</v>
      </c>
      <c r="O40" s="31">
        <f>2130.5</f>
        <v>2130.5</v>
      </c>
      <c r="P40" s="32" t="s">
        <v>682</v>
      </c>
      <c r="Q40" s="31">
        <f>2187</f>
        <v>2187</v>
      </c>
      <c r="R40" s="32" t="s">
        <v>1111</v>
      </c>
      <c r="S40" s="33">
        <f>2175.82</f>
        <v>2175.8200000000002</v>
      </c>
      <c r="T40" s="30">
        <f>9920</f>
        <v>9920</v>
      </c>
      <c r="U40" s="30" t="str">
        <f>"－"</f>
        <v>－</v>
      </c>
      <c r="V40" s="30">
        <f>21667435</f>
        <v>21667435</v>
      </c>
      <c r="W40" s="30" t="str">
        <f>"－"</f>
        <v>－</v>
      </c>
      <c r="X40" s="34">
        <f>19</f>
        <v>19</v>
      </c>
    </row>
    <row r="41" spans="1:24">
      <c r="A41" s="25" t="s">
        <v>1172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2014</f>
        <v>2014</v>
      </c>
      <c r="L41" s="32" t="s">
        <v>1145</v>
      </c>
      <c r="M41" s="31">
        <f>2021</f>
        <v>2021</v>
      </c>
      <c r="N41" s="32" t="s">
        <v>1145</v>
      </c>
      <c r="O41" s="31">
        <f>1988</f>
        <v>1988</v>
      </c>
      <c r="P41" s="32" t="s">
        <v>680</v>
      </c>
      <c r="Q41" s="31">
        <f>1998</f>
        <v>1998</v>
      </c>
      <c r="R41" s="32" t="s">
        <v>1114</v>
      </c>
      <c r="S41" s="33">
        <f>1999.6</f>
        <v>1999.6</v>
      </c>
      <c r="T41" s="30">
        <f>4429</f>
        <v>4429</v>
      </c>
      <c r="U41" s="30" t="str">
        <f>"－"</f>
        <v>－</v>
      </c>
      <c r="V41" s="30">
        <f>8839185</f>
        <v>8839185</v>
      </c>
      <c r="W41" s="30" t="str">
        <f>"－"</f>
        <v>－</v>
      </c>
      <c r="X41" s="34">
        <f>20</f>
        <v>20</v>
      </c>
    </row>
    <row r="42" spans="1:24">
      <c r="A42" s="25" t="s">
        <v>1172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2680</f>
        <v>2680</v>
      </c>
      <c r="L42" s="32" t="s">
        <v>1145</v>
      </c>
      <c r="M42" s="31">
        <f>2733</f>
        <v>2733</v>
      </c>
      <c r="N42" s="32" t="s">
        <v>682</v>
      </c>
      <c r="O42" s="31">
        <f>2603</f>
        <v>2603</v>
      </c>
      <c r="P42" s="32" t="s">
        <v>1114</v>
      </c>
      <c r="Q42" s="31">
        <f>2619</f>
        <v>2619</v>
      </c>
      <c r="R42" s="32" t="s">
        <v>1114</v>
      </c>
      <c r="S42" s="33">
        <f>2670.15</f>
        <v>2670.15</v>
      </c>
      <c r="T42" s="30">
        <f>1878044</f>
        <v>1878044</v>
      </c>
      <c r="U42" s="30">
        <f>402960</f>
        <v>402960</v>
      </c>
      <c r="V42" s="30">
        <f>4990905578</f>
        <v>4990905578</v>
      </c>
      <c r="W42" s="30">
        <f>1066897827</f>
        <v>1066897827</v>
      </c>
      <c r="X42" s="34">
        <f>20</f>
        <v>20</v>
      </c>
    </row>
    <row r="43" spans="1:24">
      <c r="A43" s="25" t="s">
        <v>1172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3100</f>
        <v>3100</v>
      </c>
      <c r="L43" s="32" t="s">
        <v>1145</v>
      </c>
      <c r="M43" s="31">
        <f>3210</f>
        <v>3210</v>
      </c>
      <c r="N43" s="32" t="s">
        <v>682</v>
      </c>
      <c r="O43" s="31">
        <f>3060</f>
        <v>3060</v>
      </c>
      <c r="P43" s="32" t="s">
        <v>1114</v>
      </c>
      <c r="Q43" s="31">
        <f>3075</f>
        <v>3075</v>
      </c>
      <c r="R43" s="32" t="s">
        <v>1114</v>
      </c>
      <c r="S43" s="33">
        <f>3133.5</f>
        <v>3133.5</v>
      </c>
      <c r="T43" s="30">
        <f>2085447</f>
        <v>2085447</v>
      </c>
      <c r="U43" s="30">
        <f>1721730</f>
        <v>1721730</v>
      </c>
      <c r="V43" s="30">
        <f>6474015300</f>
        <v>6474015300</v>
      </c>
      <c r="W43" s="30">
        <f>5325175685</f>
        <v>5325175685</v>
      </c>
      <c r="X43" s="34">
        <f>20</f>
        <v>20</v>
      </c>
    </row>
    <row r="44" spans="1:24">
      <c r="A44" s="25" t="s">
        <v>1172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33230</f>
        <v>33230</v>
      </c>
      <c r="L44" s="32" t="s">
        <v>1145</v>
      </c>
      <c r="M44" s="31">
        <f>34950</f>
        <v>34950</v>
      </c>
      <c r="N44" s="32" t="s">
        <v>1114</v>
      </c>
      <c r="O44" s="31">
        <f>31760</f>
        <v>31760</v>
      </c>
      <c r="P44" s="32" t="s">
        <v>682</v>
      </c>
      <c r="Q44" s="31">
        <f>34530</f>
        <v>34530</v>
      </c>
      <c r="R44" s="32" t="s">
        <v>1114</v>
      </c>
      <c r="S44" s="33">
        <f>33343</f>
        <v>33343</v>
      </c>
      <c r="T44" s="30">
        <f>5460005</f>
        <v>5460005</v>
      </c>
      <c r="U44" s="30">
        <f>94779</f>
        <v>94779</v>
      </c>
      <c r="V44" s="30">
        <f>181703558720</f>
        <v>181703558720</v>
      </c>
      <c r="W44" s="30">
        <f>3155243000</f>
        <v>3155243000</v>
      </c>
      <c r="X44" s="34">
        <f>20</f>
        <v>20</v>
      </c>
    </row>
    <row r="45" spans="1:24">
      <c r="A45" s="25" t="s">
        <v>1172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590</f>
        <v>590</v>
      </c>
      <c r="L45" s="32" t="s">
        <v>1145</v>
      </c>
      <c r="M45" s="31">
        <f>615</f>
        <v>615</v>
      </c>
      <c r="N45" s="32" t="s">
        <v>682</v>
      </c>
      <c r="O45" s="31">
        <f>557</f>
        <v>557</v>
      </c>
      <c r="P45" s="32" t="s">
        <v>676</v>
      </c>
      <c r="Q45" s="31">
        <f>563</f>
        <v>563</v>
      </c>
      <c r="R45" s="32" t="s">
        <v>1114</v>
      </c>
      <c r="S45" s="33">
        <f>586.15</f>
        <v>586.15</v>
      </c>
      <c r="T45" s="30">
        <f>216089322</f>
        <v>216089322</v>
      </c>
      <c r="U45" s="30">
        <f>1805765</f>
        <v>1805765</v>
      </c>
      <c r="V45" s="30">
        <f>126584622634</f>
        <v>126584622634</v>
      </c>
      <c r="W45" s="30">
        <f>1055801849</f>
        <v>1055801849</v>
      </c>
      <c r="X45" s="34">
        <f>20</f>
        <v>20</v>
      </c>
    </row>
    <row r="46" spans="1:24">
      <c r="A46" s="25" t="s">
        <v>1172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32300</f>
        <v>32300</v>
      </c>
      <c r="L46" s="32" t="s">
        <v>1145</v>
      </c>
      <c r="M46" s="31">
        <f>34910</f>
        <v>34910</v>
      </c>
      <c r="N46" s="32" t="s">
        <v>1145</v>
      </c>
      <c r="O46" s="31">
        <f>30160</f>
        <v>30160</v>
      </c>
      <c r="P46" s="32" t="s">
        <v>682</v>
      </c>
      <c r="Q46" s="31">
        <f>32320</f>
        <v>32320</v>
      </c>
      <c r="R46" s="32" t="s">
        <v>1114</v>
      </c>
      <c r="S46" s="33">
        <f>31558</f>
        <v>31558</v>
      </c>
      <c r="T46" s="30">
        <f>8860</f>
        <v>8860</v>
      </c>
      <c r="U46" s="30" t="str">
        <f t="shared" ref="U46:U52" si="0">"－"</f>
        <v>－</v>
      </c>
      <c r="V46" s="30">
        <f>280448400</f>
        <v>280448400</v>
      </c>
      <c r="W46" s="30" t="str">
        <f t="shared" ref="W46:W52" si="1">"－"</f>
        <v>－</v>
      </c>
      <c r="X46" s="34">
        <f>20</f>
        <v>20</v>
      </c>
    </row>
    <row r="47" spans="1:24">
      <c r="A47" s="25" t="s">
        <v>1172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2980</f>
        <v>2980</v>
      </c>
      <c r="L47" s="32" t="s">
        <v>1145</v>
      </c>
      <c r="M47" s="31">
        <f>3045</f>
        <v>3045</v>
      </c>
      <c r="N47" s="32" t="s">
        <v>682</v>
      </c>
      <c r="O47" s="31">
        <f>2876</f>
        <v>2876</v>
      </c>
      <c r="P47" s="32" t="s">
        <v>1114</v>
      </c>
      <c r="Q47" s="31">
        <f>2948</f>
        <v>2948</v>
      </c>
      <c r="R47" s="32" t="s">
        <v>1114</v>
      </c>
      <c r="S47" s="33">
        <f>3003</f>
        <v>3003</v>
      </c>
      <c r="T47" s="30">
        <f>1570</f>
        <v>1570</v>
      </c>
      <c r="U47" s="30" t="str">
        <f t="shared" si="0"/>
        <v>－</v>
      </c>
      <c r="V47" s="30">
        <f>4762290</f>
        <v>4762290</v>
      </c>
      <c r="W47" s="30" t="str">
        <f t="shared" si="1"/>
        <v>－</v>
      </c>
      <c r="X47" s="34">
        <f>14</f>
        <v>14</v>
      </c>
    </row>
    <row r="48" spans="1:24">
      <c r="A48" s="25" t="s">
        <v>1172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692</f>
        <v>692</v>
      </c>
      <c r="L48" s="32" t="s">
        <v>1145</v>
      </c>
      <c r="M48" s="31">
        <f>729</f>
        <v>729</v>
      </c>
      <c r="N48" s="32" t="s">
        <v>682</v>
      </c>
      <c r="O48" s="31">
        <f>649</f>
        <v>649</v>
      </c>
      <c r="P48" s="32" t="s">
        <v>1114</v>
      </c>
      <c r="Q48" s="31">
        <f>660</f>
        <v>660</v>
      </c>
      <c r="R48" s="32" t="s">
        <v>1114</v>
      </c>
      <c r="S48" s="33">
        <f>685</f>
        <v>685</v>
      </c>
      <c r="T48" s="30">
        <f>102871</f>
        <v>102871</v>
      </c>
      <c r="U48" s="30" t="str">
        <f t="shared" si="0"/>
        <v>－</v>
      </c>
      <c r="V48" s="30">
        <f>70000974</f>
        <v>70000974</v>
      </c>
      <c r="W48" s="30" t="str">
        <f t="shared" si="1"/>
        <v>－</v>
      </c>
      <c r="X48" s="34">
        <f>20</f>
        <v>20</v>
      </c>
    </row>
    <row r="49" spans="1:24">
      <c r="A49" s="25" t="s">
        <v>1172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659</f>
        <v>659</v>
      </c>
      <c r="L49" s="32" t="s">
        <v>1145</v>
      </c>
      <c r="M49" s="31">
        <f>695</f>
        <v>695</v>
      </c>
      <c r="N49" s="32" t="s">
        <v>682</v>
      </c>
      <c r="O49" s="31">
        <f>635.1</f>
        <v>635.1</v>
      </c>
      <c r="P49" s="32" t="s">
        <v>1114</v>
      </c>
      <c r="Q49" s="31">
        <f>640.9</f>
        <v>640.9</v>
      </c>
      <c r="R49" s="32" t="s">
        <v>1114</v>
      </c>
      <c r="S49" s="33">
        <f>663.49</f>
        <v>663.49</v>
      </c>
      <c r="T49" s="30">
        <f>88270</f>
        <v>88270</v>
      </c>
      <c r="U49" s="30" t="str">
        <f t="shared" si="0"/>
        <v>－</v>
      </c>
      <c r="V49" s="30">
        <f>58481235</f>
        <v>58481235</v>
      </c>
      <c r="W49" s="30" t="str">
        <f t="shared" si="1"/>
        <v>－</v>
      </c>
      <c r="X49" s="34">
        <f>20</f>
        <v>20</v>
      </c>
    </row>
    <row r="50" spans="1:24">
      <c r="A50" s="25" t="s">
        <v>1172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269</f>
        <v>269</v>
      </c>
      <c r="L50" s="32" t="s">
        <v>1145</v>
      </c>
      <c r="M50" s="31">
        <f>286</f>
        <v>286</v>
      </c>
      <c r="N50" s="32" t="s">
        <v>682</v>
      </c>
      <c r="O50" s="31">
        <f>260</f>
        <v>260</v>
      </c>
      <c r="P50" s="32" t="s">
        <v>1114</v>
      </c>
      <c r="Q50" s="31">
        <f>263</f>
        <v>263</v>
      </c>
      <c r="R50" s="32" t="s">
        <v>1114</v>
      </c>
      <c r="S50" s="33">
        <f>274.75</f>
        <v>274.75</v>
      </c>
      <c r="T50" s="30">
        <f>36841</f>
        <v>36841</v>
      </c>
      <c r="U50" s="30" t="str">
        <f t="shared" si="0"/>
        <v>－</v>
      </c>
      <c r="V50" s="30">
        <f>10092137</f>
        <v>10092137</v>
      </c>
      <c r="W50" s="30" t="str">
        <f t="shared" si="1"/>
        <v>－</v>
      </c>
      <c r="X50" s="34">
        <f>20</f>
        <v>20</v>
      </c>
    </row>
    <row r="51" spans="1:24">
      <c r="A51" s="25" t="s">
        <v>1172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2863.5</f>
        <v>2863.5</v>
      </c>
      <c r="L51" s="32" t="s">
        <v>1145</v>
      </c>
      <c r="M51" s="31">
        <f>2890.5</f>
        <v>2890.5</v>
      </c>
      <c r="N51" s="32" t="s">
        <v>1114</v>
      </c>
      <c r="O51" s="31">
        <f>2760</f>
        <v>2760</v>
      </c>
      <c r="P51" s="32" t="s">
        <v>682</v>
      </c>
      <c r="Q51" s="31">
        <f>2877.5</f>
        <v>2877.5</v>
      </c>
      <c r="R51" s="32" t="s">
        <v>1114</v>
      </c>
      <c r="S51" s="33">
        <f>2824.45</f>
        <v>2824.45</v>
      </c>
      <c r="T51" s="30">
        <f>91210</f>
        <v>91210</v>
      </c>
      <c r="U51" s="30" t="str">
        <f t="shared" si="0"/>
        <v>－</v>
      </c>
      <c r="V51" s="30">
        <f>256767750</f>
        <v>256767750</v>
      </c>
      <c r="W51" s="30" t="str">
        <f t="shared" si="1"/>
        <v>－</v>
      </c>
      <c r="X51" s="34">
        <f>20</f>
        <v>20</v>
      </c>
    </row>
    <row r="52" spans="1:24">
      <c r="A52" s="25" t="s">
        <v>1172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25900</f>
        <v>25900</v>
      </c>
      <c r="L52" s="32" t="s">
        <v>1145</v>
      </c>
      <c r="M52" s="31">
        <f>26440</f>
        <v>26440</v>
      </c>
      <c r="N52" s="32" t="s">
        <v>1114</v>
      </c>
      <c r="O52" s="31">
        <f>25090</f>
        <v>25090</v>
      </c>
      <c r="P52" s="32" t="s">
        <v>682</v>
      </c>
      <c r="Q52" s="31">
        <f>26165</f>
        <v>26165</v>
      </c>
      <c r="R52" s="32" t="s">
        <v>1114</v>
      </c>
      <c r="S52" s="33">
        <f>25665</f>
        <v>25665</v>
      </c>
      <c r="T52" s="30">
        <f>2064</f>
        <v>2064</v>
      </c>
      <c r="U52" s="30" t="str">
        <f t="shared" si="0"/>
        <v>－</v>
      </c>
      <c r="V52" s="30">
        <f>52611590</f>
        <v>52611590</v>
      </c>
      <c r="W52" s="30" t="str">
        <f t="shared" si="1"/>
        <v>－</v>
      </c>
      <c r="X52" s="34">
        <f>20</f>
        <v>20</v>
      </c>
    </row>
    <row r="53" spans="1:24">
      <c r="A53" s="25" t="s">
        <v>1172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2889</f>
        <v>2889</v>
      </c>
      <c r="L53" s="32" t="s">
        <v>1145</v>
      </c>
      <c r="M53" s="31">
        <f>2923</f>
        <v>2923</v>
      </c>
      <c r="N53" s="32" t="s">
        <v>1114</v>
      </c>
      <c r="O53" s="31">
        <f>2786</f>
        <v>2786</v>
      </c>
      <c r="P53" s="32" t="s">
        <v>682</v>
      </c>
      <c r="Q53" s="31">
        <f>2911</f>
        <v>2911</v>
      </c>
      <c r="R53" s="32" t="s">
        <v>1114</v>
      </c>
      <c r="S53" s="33">
        <f>2854.05</f>
        <v>2854.05</v>
      </c>
      <c r="T53" s="30">
        <f>12451445</f>
        <v>12451445</v>
      </c>
      <c r="U53" s="30">
        <f>7126235</f>
        <v>7126235</v>
      </c>
      <c r="V53" s="30">
        <f>35623704263</f>
        <v>35623704263</v>
      </c>
      <c r="W53" s="30">
        <f>20421067026</f>
        <v>20421067026</v>
      </c>
      <c r="X53" s="34">
        <f>20</f>
        <v>20</v>
      </c>
    </row>
    <row r="54" spans="1:24">
      <c r="A54" s="25" t="s">
        <v>1172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1799</f>
        <v>1799</v>
      </c>
      <c r="L54" s="32" t="s">
        <v>1145</v>
      </c>
      <c r="M54" s="31">
        <f>1808</f>
        <v>1808</v>
      </c>
      <c r="N54" s="32" t="s">
        <v>679</v>
      </c>
      <c r="O54" s="31">
        <f>1762</f>
        <v>1762</v>
      </c>
      <c r="P54" s="32" t="s">
        <v>682</v>
      </c>
      <c r="Q54" s="31">
        <f>1785</f>
        <v>1785</v>
      </c>
      <c r="R54" s="32" t="s">
        <v>1114</v>
      </c>
      <c r="S54" s="33">
        <f>1785</f>
        <v>1785</v>
      </c>
      <c r="T54" s="30">
        <f>4884229</f>
        <v>4884229</v>
      </c>
      <c r="U54" s="30">
        <f>2074439</f>
        <v>2074439</v>
      </c>
      <c r="V54" s="30">
        <f>8700951614</f>
        <v>8700951614</v>
      </c>
      <c r="W54" s="30">
        <f>3700101382</f>
        <v>3700101382</v>
      </c>
      <c r="X54" s="34">
        <f>20</f>
        <v>20</v>
      </c>
    </row>
    <row r="55" spans="1:24">
      <c r="A55" s="25" t="s">
        <v>1172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2590</f>
        <v>2590</v>
      </c>
      <c r="L55" s="32" t="s">
        <v>1145</v>
      </c>
      <c r="M55" s="31">
        <f>2608</f>
        <v>2608</v>
      </c>
      <c r="N55" s="32" t="s">
        <v>1145</v>
      </c>
      <c r="O55" s="31">
        <f>2495</f>
        <v>2495</v>
      </c>
      <c r="P55" s="32" t="s">
        <v>682</v>
      </c>
      <c r="Q55" s="31">
        <f>2589</f>
        <v>2589</v>
      </c>
      <c r="R55" s="32" t="s">
        <v>1114</v>
      </c>
      <c r="S55" s="33">
        <f>2554.6</f>
        <v>2554.6</v>
      </c>
      <c r="T55" s="30">
        <f>70377</f>
        <v>70377</v>
      </c>
      <c r="U55" s="30">
        <f>24170</f>
        <v>24170</v>
      </c>
      <c r="V55" s="30">
        <f>178755618</f>
        <v>178755618</v>
      </c>
      <c r="W55" s="30">
        <f>61229546</f>
        <v>61229546</v>
      </c>
      <c r="X55" s="34">
        <f>20</f>
        <v>20</v>
      </c>
    </row>
    <row r="56" spans="1:24">
      <c r="A56" s="25" t="s">
        <v>1172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3775</f>
        <v>3775</v>
      </c>
      <c r="L56" s="32" t="s">
        <v>1145</v>
      </c>
      <c r="M56" s="31">
        <f>3810</f>
        <v>3810</v>
      </c>
      <c r="N56" s="32" t="s">
        <v>1145</v>
      </c>
      <c r="O56" s="31">
        <f>3600</f>
        <v>3600</v>
      </c>
      <c r="P56" s="32" t="s">
        <v>682</v>
      </c>
      <c r="Q56" s="31">
        <f>3750</f>
        <v>3750</v>
      </c>
      <c r="R56" s="32" t="s">
        <v>1114</v>
      </c>
      <c r="S56" s="33">
        <f>3700.25</f>
        <v>3700.25</v>
      </c>
      <c r="T56" s="30">
        <f>686748</f>
        <v>686748</v>
      </c>
      <c r="U56" s="30">
        <f>228200</f>
        <v>228200</v>
      </c>
      <c r="V56" s="30">
        <f>2542171360</f>
        <v>2542171360</v>
      </c>
      <c r="W56" s="30">
        <f>843097920</f>
        <v>843097920</v>
      </c>
      <c r="X56" s="34">
        <f>20</f>
        <v>20</v>
      </c>
    </row>
    <row r="57" spans="1:24">
      <c r="A57" s="25" t="s">
        <v>1172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36170</f>
        <v>36170</v>
      </c>
      <c r="L57" s="32" t="s">
        <v>1145</v>
      </c>
      <c r="M57" s="31">
        <f>38100</f>
        <v>38100</v>
      </c>
      <c r="N57" s="32" t="s">
        <v>676</v>
      </c>
      <c r="O57" s="31">
        <f>35500</f>
        <v>35500</v>
      </c>
      <c r="P57" s="32" t="s">
        <v>1118</v>
      </c>
      <c r="Q57" s="31">
        <f>36820</f>
        <v>36820</v>
      </c>
      <c r="R57" s="32" t="s">
        <v>1114</v>
      </c>
      <c r="S57" s="33">
        <f>36334.44</f>
        <v>36334.44</v>
      </c>
      <c r="T57" s="30">
        <f>7071</f>
        <v>7071</v>
      </c>
      <c r="U57" s="30">
        <f>7000</f>
        <v>7000</v>
      </c>
      <c r="V57" s="30">
        <f>260058982</f>
        <v>260058982</v>
      </c>
      <c r="W57" s="30">
        <f>257469832</f>
        <v>257469832</v>
      </c>
      <c r="X57" s="34">
        <f>9</f>
        <v>9</v>
      </c>
    </row>
    <row r="58" spans="1:24">
      <c r="A58" s="25" t="s">
        <v>1172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28075</f>
        <v>28075</v>
      </c>
      <c r="L58" s="32" t="s">
        <v>1145</v>
      </c>
      <c r="M58" s="31">
        <f>28260</f>
        <v>28260</v>
      </c>
      <c r="N58" s="32" t="s">
        <v>1114</v>
      </c>
      <c r="O58" s="31">
        <f>27380</f>
        <v>27380</v>
      </c>
      <c r="P58" s="32" t="s">
        <v>678</v>
      </c>
      <c r="Q58" s="31">
        <f>28260</f>
        <v>28260</v>
      </c>
      <c r="R58" s="32" t="s">
        <v>1114</v>
      </c>
      <c r="S58" s="33">
        <f>27802.31</f>
        <v>27802.31</v>
      </c>
      <c r="T58" s="30">
        <f>159</f>
        <v>159</v>
      </c>
      <c r="U58" s="30" t="str">
        <f>"－"</f>
        <v>－</v>
      </c>
      <c r="V58" s="30">
        <f>4438200</f>
        <v>4438200</v>
      </c>
      <c r="W58" s="30" t="str">
        <f>"－"</f>
        <v>－</v>
      </c>
      <c r="X58" s="34">
        <f>13</f>
        <v>13</v>
      </c>
    </row>
    <row r="59" spans="1:24">
      <c r="A59" s="25" t="s">
        <v>1172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2935</f>
        <v>2935</v>
      </c>
      <c r="L59" s="32" t="s">
        <v>1145</v>
      </c>
      <c r="M59" s="31">
        <f>2980</f>
        <v>2980</v>
      </c>
      <c r="N59" s="32" t="s">
        <v>684</v>
      </c>
      <c r="O59" s="31">
        <f>2805</f>
        <v>2805</v>
      </c>
      <c r="P59" s="32" t="s">
        <v>1118</v>
      </c>
      <c r="Q59" s="31">
        <f>2924</f>
        <v>2924</v>
      </c>
      <c r="R59" s="32" t="s">
        <v>1114</v>
      </c>
      <c r="S59" s="33">
        <f>2894.68</f>
        <v>2894.68</v>
      </c>
      <c r="T59" s="30">
        <f>2246</f>
        <v>2246</v>
      </c>
      <c r="U59" s="30" t="str">
        <f>"－"</f>
        <v>－</v>
      </c>
      <c r="V59" s="30">
        <f>6455174</f>
        <v>6455174</v>
      </c>
      <c r="W59" s="30" t="str">
        <f>"－"</f>
        <v>－</v>
      </c>
      <c r="X59" s="34">
        <f>19</f>
        <v>19</v>
      </c>
    </row>
    <row r="60" spans="1:24">
      <c r="A60" s="25" t="s">
        <v>1172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1699</f>
        <v>1699</v>
      </c>
      <c r="L60" s="32" t="s">
        <v>1145</v>
      </c>
      <c r="M60" s="31">
        <f>1730</f>
        <v>1730</v>
      </c>
      <c r="N60" s="32" t="s">
        <v>679</v>
      </c>
      <c r="O60" s="31">
        <f>1693</f>
        <v>1693</v>
      </c>
      <c r="P60" s="32" t="s">
        <v>1145</v>
      </c>
      <c r="Q60" s="31">
        <f>1718</f>
        <v>1718</v>
      </c>
      <c r="R60" s="32" t="s">
        <v>1114</v>
      </c>
      <c r="S60" s="33">
        <f>1716.65</f>
        <v>1716.65</v>
      </c>
      <c r="T60" s="30">
        <f>7544134</f>
        <v>7544134</v>
      </c>
      <c r="U60" s="30">
        <f>4651200</f>
        <v>4651200</v>
      </c>
      <c r="V60" s="30">
        <f>12963857098</f>
        <v>12963857098</v>
      </c>
      <c r="W60" s="30">
        <f>7990288434</f>
        <v>7990288434</v>
      </c>
      <c r="X60" s="34">
        <f>20</f>
        <v>20</v>
      </c>
    </row>
    <row r="61" spans="1:24">
      <c r="A61" s="25" t="s">
        <v>1172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2850</f>
        <v>2850</v>
      </c>
      <c r="L61" s="32" t="s">
        <v>1145</v>
      </c>
      <c r="M61" s="31">
        <f>2900</f>
        <v>2900</v>
      </c>
      <c r="N61" s="32" t="s">
        <v>1111</v>
      </c>
      <c r="O61" s="31">
        <f>2761</f>
        <v>2761</v>
      </c>
      <c r="P61" s="32" t="s">
        <v>759</v>
      </c>
      <c r="Q61" s="31">
        <f>2899</f>
        <v>2899</v>
      </c>
      <c r="R61" s="32" t="s">
        <v>1114</v>
      </c>
      <c r="S61" s="33">
        <f>2831.58</f>
        <v>2831.58</v>
      </c>
      <c r="T61" s="30">
        <f>110866</f>
        <v>110866</v>
      </c>
      <c r="U61" s="30">
        <f>109000</f>
        <v>109000</v>
      </c>
      <c r="V61" s="30">
        <f>319996576</f>
        <v>319996576</v>
      </c>
      <c r="W61" s="30">
        <f>314714610</f>
        <v>314714610</v>
      </c>
      <c r="X61" s="34">
        <f>19</f>
        <v>19</v>
      </c>
    </row>
    <row r="62" spans="1:24">
      <c r="A62" s="25" t="s">
        <v>1172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2876.5</f>
        <v>2876.5</v>
      </c>
      <c r="L62" s="32" t="s">
        <v>1145</v>
      </c>
      <c r="M62" s="31">
        <f>2914</f>
        <v>2914</v>
      </c>
      <c r="N62" s="32" t="s">
        <v>674</v>
      </c>
      <c r="O62" s="31">
        <f>2760</f>
        <v>2760</v>
      </c>
      <c r="P62" s="32" t="s">
        <v>682</v>
      </c>
      <c r="Q62" s="31">
        <f>2892</f>
        <v>2892</v>
      </c>
      <c r="R62" s="32" t="s">
        <v>1114</v>
      </c>
      <c r="S62" s="33">
        <f>2828.18</f>
        <v>2828.18</v>
      </c>
      <c r="T62" s="30">
        <f>9200</f>
        <v>9200</v>
      </c>
      <c r="U62" s="30" t="str">
        <f>"－"</f>
        <v>－</v>
      </c>
      <c r="V62" s="30">
        <f>26130075</f>
        <v>26130075</v>
      </c>
      <c r="W62" s="30" t="str">
        <f>"－"</f>
        <v>－</v>
      </c>
      <c r="X62" s="34">
        <f>20</f>
        <v>20</v>
      </c>
    </row>
    <row r="63" spans="1:24">
      <c r="A63" s="25" t="s">
        <v>1172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40920</f>
        <v>40920</v>
      </c>
      <c r="L63" s="32" t="s">
        <v>683</v>
      </c>
      <c r="M63" s="31">
        <f>40920</f>
        <v>40920</v>
      </c>
      <c r="N63" s="32" t="s">
        <v>683</v>
      </c>
      <c r="O63" s="31">
        <f>40920</f>
        <v>40920</v>
      </c>
      <c r="P63" s="32" t="s">
        <v>683</v>
      </c>
      <c r="Q63" s="31">
        <f>40920</f>
        <v>40920</v>
      </c>
      <c r="R63" s="32" t="s">
        <v>683</v>
      </c>
      <c r="S63" s="33">
        <f>40920</f>
        <v>40920</v>
      </c>
      <c r="T63" s="30">
        <f>2</f>
        <v>2</v>
      </c>
      <c r="U63" s="30" t="str">
        <f>"－"</f>
        <v>－</v>
      </c>
      <c r="V63" s="30">
        <f>81840</f>
        <v>81840</v>
      </c>
      <c r="W63" s="30" t="str">
        <f>"－"</f>
        <v>－</v>
      </c>
      <c r="X63" s="34">
        <f>1</f>
        <v>1</v>
      </c>
    </row>
    <row r="64" spans="1:24">
      <c r="A64" s="25" t="s">
        <v>1172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24170</f>
        <v>24170</v>
      </c>
      <c r="L64" s="32" t="s">
        <v>1145</v>
      </c>
      <c r="M64" s="31">
        <f>25285</f>
        <v>25285</v>
      </c>
      <c r="N64" s="32" t="s">
        <v>679</v>
      </c>
      <c r="O64" s="31">
        <f>24125</f>
        <v>24125</v>
      </c>
      <c r="P64" s="32" t="s">
        <v>675</v>
      </c>
      <c r="Q64" s="31">
        <f>25150</f>
        <v>25150</v>
      </c>
      <c r="R64" s="32" t="s">
        <v>1114</v>
      </c>
      <c r="S64" s="33">
        <f>24629.75</f>
        <v>24629.75</v>
      </c>
      <c r="T64" s="30">
        <f>409698</f>
        <v>409698</v>
      </c>
      <c r="U64" s="30">
        <f>396500</f>
        <v>396500</v>
      </c>
      <c r="V64" s="30">
        <f>9967765338</f>
        <v>9967765338</v>
      </c>
      <c r="W64" s="30">
        <f>9642217628</f>
        <v>9642217628</v>
      </c>
      <c r="X64" s="34">
        <f>20</f>
        <v>20</v>
      </c>
    </row>
    <row r="65" spans="1:24">
      <c r="A65" s="25" t="s">
        <v>1172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13115</f>
        <v>13115</v>
      </c>
      <c r="L65" s="32" t="s">
        <v>1145</v>
      </c>
      <c r="M65" s="31">
        <f>13370</f>
        <v>13370</v>
      </c>
      <c r="N65" s="32" t="s">
        <v>1115</v>
      </c>
      <c r="O65" s="31">
        <f>13065</f>
        <v>13065</v>
      </c>
      <c r="P65" s="32" t="s">
        <v>1145</v>
      </c>
      <c r="Q65" s="31">
        <f>13250</f>
        <v>13250</v>
      </c>
      <c r="R65" s="32" t="s">
        <v>1114</v>
      </c>
      <c r="S65" s="33">
        <f>13255.25</f>
        <v>13255.25</v>
      </c>
      <c r="T65" s="30">
        <f>217414</f>
        <v>217414</v>
      </c>
      <c r="U65" s="30">
        <f>134856</f>
        <v>134856</v>
      </c>
      <c r="V65" s="30">
        <f>2878984164</f>
        <v>2878984164</v>
      </c>
      <c r="W65" s="30">
        <f>1785054544</f>
        <v>1785054544</v>
      </c>
      <c r="X65" s="34">
        <f>20</f>
        <v>20</v>
      </c>
    </row>
    <row r="66" spans="1:24">
      <c r="A66" s="25" t="s">
        <v>1172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</v>
      </c>
      <c r="K66" s="31">
        <f>1795</f>
        <v>1795</v>
      </c>
      <c r="L66" s="32" t="s">
        <v>1145</v>
      </c>
      <c r="M66" s="31">
        <f>1804</f>
        <v>1804</v>
      </c>
      <c r="N66" s="32" t="s">
        <v>676</v>
      </c>
      <c r="O66" s="31">
        <f>1758</f>
        <v>1758</v>
      </c>
      <c r="P66" s="32" t="s">
        <v>682</v>
      </c>
      <c r="Q66" s="31">
        <f>1783</f>
        <v>1783</v>
      </c>
      <c r="R66" s="32" t="s">
        <v>1114</v>
      </c>
      <c r="S66" s="33">
        <f>1780.68</f>
        <v>1780.68</v>
      </c>
      <c r="T66" s="30">
        <f>1219282</f>
        <v>1219282</v>
      </c>
      <c r="U66" s="30">
        <f>362641</f>
        <v>362641</v>
      </c>
      <c r="V66" s="30">
        <f>2167831895</f>
        <v>2167831895</v>
      </c>
      <c r="W66" s="30">
        <f>642947847</f>
        <v>642947847</v>
      </c>
      <c r="X66" s="34">
        <f>20</f>
        <v>20</v>
      </c>
    </row>
    <row r="67" spans="1:24">
      <c r="A67" s="25" t="s">
        <v>1172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2422</f>
        <v>2422</v>
      </c>
      <c r="L67" s="32" t="s">
        <v>1145</v>
      </c>
      <c r="M67" s="31">
        <f>2452</f>
        <v>2452</v>
      </c>
      <c r="N67" s="32" t="s">
        <v>1145</v>
      </c>
      <c r="O67" s="31">
        <f>2294</f>
        <v>2294</v>
      </c>
      <c r="P67" s="32" t="s">
        <v>1118</v>
      </c>
      <c r="Q67" s="31">
        <f>2397</f>
        <v>2397</v>
      </c>
      <c r="R67" s="32" t="s">
        <v>1114</v>
      </c>
      <c r="S67" s="33">
        <f>2361.6</f>
        <v>2361.6</v>
      </c>
      <c r="T67" s="30">
        <f>16593994</f>
        <v>16593994</v>
      </c>
      <c r="U67" s="30">
        <f>4074122</f>
        <v>4074122</v>
      </c>
      <c r="V67" s="30">
        <f>39214719107</f>
        <v>39214719107</v>
      </c>
      <c r="W67" s="30">
        <f>9625399799</f>
        <v>9625399799</v>
      </c>
      <c r="X67" s="34">
        <f>20</f>
        <v>20</v>
      </c>
    </row>
    <row r="68" spans="1:24">
      <c r="A68" s="25" t="s">
        <v>1172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7536</f>
        <v>7536</v>
      </c>
      <c r="L68" s="32" t="s">
        <v>1145</v>
      </c>
      <c r="M68" s="31">
        <f>7751</f>
        <v>7751</v>
      </c>
      <c r="N68" s="32" t="s">
        <v>1112</v>
      </c>
      <c r="O68" s="31">
        <f>7449</f>
        <v>7449</v>
      </c>
      <c r="P68" s="32" t="s">
        <v>1111</v>
      </c>
      <c r="Q68" s="31">
        <f>7449</f>
        <v>7449</v>
      </c>
      <c r="R68" s="32" t="s">
        <v>1111</v>
      </c>
      <c r="S68" s="33">
        <f>7578.67</f>
        <v>7578.67</v>
      </c>
      <c r="T68" s="30">
        <f>30</f>
        <v>30</v>
      </c>
      <c r="U68" s="30" t="str">
        <f>"－"</f>
        <v>－</v>
      </c>
      <c r="V68" s="30">
        <f>227360</f>
        <v>227360</v>
      </c>
      <c r="W68" s="30" t="str">
        <f>"－"</f>
        <v>－</v>
      </c>
      <c r="X68" s="34">
        <f>3</f>
        <v>3</v>
      </c>
    </row>
    <row r="69" spans="1:24">
      <c r="A69" s="25" t="s">
        <v>1172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19755</f>
        <v>19755</v>
      </c>
      <c r="L69" s="32" t="s">
        <v>1145</v>
      </c>
      <c r="M69" s="31">
        <f>20465</f>
        <v>20465</v>
      </c>
      <c r="N69" s="32" t="s">
        <v>1114</v>
      </c>
      <c r="O69" s="31">
        <f>19485</f>
        <v>19485</v>
      </c>
      <c r="P69" s="32" t="s">
        <v>674</v>
      </c>
      <c r="Q69" s="31">
        <f>20305</f>
        <v>20305</v>
      </c>
      <c r="R69" s="32" t="s">
        <v>1114</v>
      </c>
      <c r="S69" s="33">
        <f>19864.25</f>
        <v>19864.25</v>
      </c>
      <c r="T69" s="30">
        <f>6023</f>
        <v>6023</v>
      </c>
      <c r="U69" s="30" t="str">
        <f>"－"</f>
        <v>－</v>
      </c>
      <c r="V69" s="30">
        <f>119656080</f>
        <v>119656080</v>
      </c>
      <c r="W69" s="30" t="str">
        <f>"－"</f>
        <v>－</v>
      </c>
      <c r="X69" s="34">
        <f>20</f>
        <v>20</v>
      </c>
    </row>
    <row r="70" spans="1:24">
      <c r="A70" s="25" t="s">
        <v>1172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31240</f>
        <v>31240</v>
      </c>
      <c r="L70" s="32" t="s">
        <v>1145</v>
      </c>
      <c r="M70" s="31">
        <f>31450</f>
        <v>31450</v>
      </c>
      <c r="N70" s="32" t="s">
        <v>1114</v>
      </c>
      <c r="O70" s="31">
        <f>30020</f>
        <v>30020</v>
      </c>
      <c r="P70" s="32" t="s">
        <v>682</v>
      </c>
      <c r="Q70" s="31">
        <f>31310</f>
        <v>31310</v>
      </c>
      <c r="R70" s="32" t="s">
        <v>1114</v>
      </c>
      <c r="S70" s="33">
        <f>30660.5</f>
        <v>30660.5</v>
      </c>
      <c r="T70" s="30">
        <f>12844</f>
        <v>12844</v>
      </c>
      <c r="U70" s="30">
        <f>71</f>
        <v>71</v>
      </c>
      <c r="V70" s="30">
        <f>393865950</f>
        <v>393865950</v>
      </c>
      <c r="W70" s="30">
        <f>2167000</f>
        <v>2167000</v>
      </c>
      <c r="X70" s="34">
        <f>20</f>
        <v>20</v>
      </c>
    </row>
    <row r="71" spans="1:24">
      <c r="A71" s="25" t="s">
        <v>1172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10205</f>
        <v>10205</v>
      </c>
      <c r="L71" s="32" t="s">
        <v>1145</v>
      </c>
      <c r="M71" s="31">
        <f>10320</f>
        <v>10320</v>
      </c>
      <c r="N71" s="32" t="s">
        <v>676</v>
      </c>
      <c r="O71" s="31">
        <f>10100</f>
        <v>10100</v>
      </c>
      <c r="P71" s="32" t="s">
        <v>1114</v>
      </c>
      <c r="Q71" s="31">
        <f>10205</f>
        <v>10205</v>
      </c>
      <c r="R71" s="32" t="s">
        <v>1114</v>
      </c>
      <c r="S71" s="33">
        <f>10243.5</f>
        <v>10243.5</v>
      </c>
      <c r="T71" s="30">
        <f>9010</f>
        <v>9010</v>
      </c>
      <c r="U71" s="30">
        <f>10</f>
        <v>10</v>
      </c>
      <c r="V71" s="30">
        <f>92135850</f>
        <v>92135850</v>
      </c>
      <c r="W71" s="30">
        <f>102400</f>
        <v>102400</v>
      </c>
      <c r="X71" s="34">
        <f>20</f>
        <v>20</v>
      </c>
    </row>
    <row r="72" spans="1:24">
      <c r="A72" s="25" t="s">
        <v>1172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1830</f>
        <v>1830</v>
      </c>
      <c r="L72" s="32" t="s">
        <v>1145</v>
      </c>
      <c r="M72" s="31">
        <f>1852</f>
        <v>1852</v>
      </c>
      <c r="N72" s="32" t="s">
        <v>682</v>
      </c>
      <c r="O72" s="31">
        <f>1817</f>
        <v>1817</v>
      </c>
      <c r="P72" s="32" t="s">
        <v>1145</v>
      </c>
      <c r="Q72" s="31">
        <f>1834</f>
        <v>1834</v>
      </c>
      <c r="R72" s="32" t="s">
        <v>1114</v>
      </c>
      <c r="S72" s="33">
        <f>1836.9</f>
        <v>1836.9</v>
      </c>
      <c r="T72" s="30">
        <f>1168171</f>
        <v>1168171</v>
      </c>
      <c r="U72" s="30">
        <f>816700</f>
        <v>816700</v>
      </c>
      <c r="V72" s="30">
        <f>2144556217</f>
        <v>2144556217</v>
      </c>
      <c r="W72" s="30">
        <f>1498778556</f>
        <v>1498778556</v>
      </c>
      <c r="X72" s="34">
        <f>20</f>
        <v>20</v>
      </c>
    </row>
    <row r="73" spans="1:24">
      <c r="A73" s="25" t="s">
        <v>1172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1848</f>
        <v>1848</v>
      </c>
      <c r="L73" s="32" t="s">
        <v>1145</v>
      </c>
      <c r="M73" s="31">
        <f>1875</f>
        <v>1875</v>
      </c>
      <c r="N73" s="32" t="s">
        <v>1118</v>
      </c>
      <c r="O73" s="31">
        <f>1848</f>
        <v>1848</v>
      </c>
      <c r="P73" s="32" t="s">
        <v>1145</v>
      </c>
      <c r="Q73" s="31">
        <f>1858</f>
        <v>1858</v>
      </c>
      <c r="R73" s="32" t="s">
        <v>1114</v>
      </c>
      <c r="S73" s="33">
        <f>1861.85</f>
        <v>1861.85</v>
      </c>
      <c r="T73" s="30">
        <f>489791</f>
        <v>489791</v>
      </c>
      <c r="U73" s="30" t="str">
        <f>"－"</f>
        <v>－</v>
      </c>
      <c r="V73" s="30">
        <f>912036523</f>
        <v>912036523</v>
      </c>
      <c r="W73" s="30" t="str">
        <f>"－"</f>
        <v>－</v>
      </c>
      <c r="X73" s="34">
        <f>20</f>
        <v>20</v>
      </c>
    </row>
    <row r="74" spans="1:24">
      <c r="A74" s="25" t="s">
        <v>1172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22445</f>
        <v>22445</v>
      </c>
      <c r="L74" s="32" t="s">
        <v>1145</v>
      </c>
      <c r="M74" s="31">
        <f>22950</f>
        <v>22950</v>
      </c>
      <c r="N74" s="32" t="s">
        <v>1111</v>
      </c>
      <c r="O74" s="31">
        <f>21570</f>
        <v>21570</v>
      </c>
      <c r="P74" s="32" t="s">
        <v>682</v>
      </c>
      <c r="Q74" s="31">
        <f>22555</f>
        <v>22555</v>
      </c>
      <c r="R74" s="32" t="s">
        <v>1114</v>
      </c>
      <c r="S74" s="33">
        <f>22097.75</f>
        <v>22097.75</v>
      </c>
      <c r="T74" s="30">
        <f>3245</f>
        <v>3245</v>
      </c>
      <c r="U74" s="30">
        <f>4</f>
        <v>4</v>
      </c>
      <c r="V74" s="30">
        <f>72207790</f>
        <v>72207790</v>
      </c>
      <c r="W74" s="30">
        <f>88080</f>
        <v>88080</v>
      </c>
      <c r="X74" s="34">
        <f>20</f>
        <v>20</v>
      </c>
    </row>
    <row r="75" spans="1:24">
      <c r="A75" s="25" t="s">
        <v>1172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9535</f>
        <v>9535</v>
      </c>
      <c r="L75" s="32" t="s">
        <v>1145</v>
      </c>
      <c r="M75" s="31">
        <f>9569</f>
        <v>9569</v>
      </c>
      <c r="N75" s="32" t="s">
        <v>1145</v>
      </c>
      <c r="O75" s="31">
        <f>9400</f>
        <v>9400</v>
      </c>
      <c r="P75" s="32" t="s">
        <v>683</v>
      </c>
      <c r="Q75" s="31">
        <f>9431</f>
        <v>9431</v>
      </c>
      <c r="R75" s="32" t="s">
        <v>1114</v>
      </c>
      <c r="S75" s="33">
        <f>9495.4</f>
        <v>9495.4</v>
      </c>
      <c r="T75" s="30">
        <f>1241</f>
        <v>1241</v>
      </c>
      <c r="U75" s="30">
        <f>4</f>
        <v>4</v>
      </c>
      <c r="V75" s="30">
        <f>11762317</f>
        <v>11762317</v>
      </c>
      <c r="W75" s="30">
        <f>38252</f>
        <v>38252</v>
      </c>
      <c r="X75" s="34">
        <f>20</f>
        <v>20</v>
      </c>
    </row>
    <row r="76" spans="1:24">
      <c r="A76" s="25" t="s">
        <v>1172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11145</f>
        <v>11145</v>
      </c>
      <c r="L76" s="32" t="s">
        <v>1145</v>
      </c>
      <c r="M76" s="31">
        <f>11390</f>
        <v>11390</v>
      </c>
      <c r="N76" s="32" t="s">
        <v>1112</v>
      </c>
      <c r="O76" s="31">
        <f>10935</f>
        <v>10935</v>
      </c>
      <c r="P76" s="32" t="s">
        <v>759</v>
      </c>
      <c r="Q76" s="31">
        <f>11340</f>
        <v>11340</v>
      </c>
      <c r="R76" s="32" t="s">
        <v>1114</v>
      </c>
      <c r="S76" s="33">
        <f>11146</f>
        <v>11146</v>
      </c>
      <c r="T76" s="30">
        <f>2493398</f>
        <v>2493398</v>
      </c>
      <c r="U76" s="30">
        <f>505852</f>
        <v>505852</v>
      </c>
      <c r="V76" s="30">
        <f>27752941297</f>
        <v>27752941297</v>
      </c>
      <c r="W76" s="30">
        <f>5631155527</f>
        <v>5631155527</v>
      </c>
      <c r="X76" s="34">
        <f>20</f>
        <v>20</v>
      </c>
    </row>
    <row r="77" spans="1:24">
      <c r="A77" s="25" t="s">
        <v>1172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4845</f>
        <v>4845</v>
      </c>
      <c r="L77" s="32" t="s">
        <v>1145</v>
      </c>
      <c r="M77" s="31">
        <f>4890</f>
        <v>4890</v>
      </c>
      <c r="N77" s="32" t="s">
        <v>1145</v>
      </c>
      <c r="O77" s="31">
        <f>4455</f>
        <v>4455</v>
      </c>
      <c r="P77" s="32" t="s">
        <v>1117</v>
      </c>
      <c r="Q77" s="31">
        <f>4750</f>
        <v>4750</v>
      </c>
      <c r="R77" s="32" t="s">
        <v>1114</v>
      </c>
      <c r="S77" s="33">
        <f>4638</f>
        <v>4638</v>
      </c>
      <c r="T77" s="30">
        <f>401789</f>
        <v>401789</v>
      </c>
      <c r="U77" s="30" t="str">
        <f>"－"</f>
        <v>－</v>
      </c>
      <c r="V77" s="30">
        <f>1862086005</f>
        <v>1862086005</v>
      </c>
      <c r="W77" s="30" t="str">
        <f>"－"</f>
        <v>－</v>
      </c>
      <c r="X77" s="34">
        <f>20</f>
        <v>20</v>
      </c>
    </row>
    <row r="78" spans="1:24">
      <c r="A78" s="25" t="s">
        <v>1172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14285</f>
        <v>14285</v>
      </c>
      <c r="L78" s="32" t="s">
        <v>1145</v>
      </c>
      <c r="M78" s="31">
        <f>14640</f>
        <v>14640</v>
      </c>
      <c r="N78" s="32" t="s">
        <v>1115</v>
      </c>
      <c r="O78" s="31">
        <f>13540</f>
        <v>13540</v>
      </c>
      <c r="P78" s="32" t="s">
        <v>1117</v>
      </c>
      <c r="Q78" s="31">
        <f>13850</f>
        <v>13850</v>
      </c>
      <c r="R78" s="32" t="s">
        <v>1114</v>
      </c>
      <c r="S78" s="33">
        <f>13991.75</f>
        <v>13991.75</v>
      </c>
      <c r="T78" s="30">
        <f>286633</f>
        <v>286633</v>
      </c>
      <c r="U78" s="30">
        <f>273</f>
        <v>273</v>
      </c>
      <c r="V78" s="30">
        <f>4016836995</f>
        <v>4016836995</v>
      </c>
      <c r="W78" s="30">
        <f>3844060</f>
        <v>3844060</v>
      </c>
      <c r="X78" s="34">
        <f>20</f>
        <v>20</v>
      </c>
    </row>
    <row r="79" spans="1:24">
      <c r="A79" s="25" t="s">
        <v>1172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44250</f>
        <v>44250</v>
      </c>
      <c r="L79" s="32" t="s">
        <v>1145</v>
      </c>
      <c r="M79" s="31">
        <f>45000</f>
        <v>45000</v>
      </c>
      <c r="N79" s="32" t="s">
        <v>679</v>
      </c>
      <c r="O79" s="31">
        <f>41980</f>
        <v>41980</v>
      </c>
      <c r="P79" s="32" t="s">
        <v>680</v>
      </c>
      <c r="Q79" s="31">
        <f>44170</f>
        <v>44170</v>
      </c>
      <c r="R79" s="32" t="s">
        <v>1114</v>
      </c>
      <c r="S79" s="33">
        <f>43464</f>
        <v>43464</v>
      </c>
      <c r="T79" s="30">
        <f>13040</f>
        <v>13040</v>
      </c>
      <c r="U79" s="30">
        <f>16</f>
        <v>16</v>
      </c>
      <c r="V79" s="30">
        <f>565762840</f>
        <v>565762840</v>
      </c>
      <c r="W79" s="30">
        <f>693920</f>
        <v>693920</v>
      </c>
      <c r="X79" s="34">
        <f>20</f>
        <v>20</v>
      </c>
    </row>
    <row r="80" spans="1:24">
      <c r="A80" s="25" t="s">
        <v>1172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29540</f>
        <v>29540</v>
      </c>
      <c r="L80" s="32" t="s">
        <v>1145</v>
      </c>
      <c r="M80" s="31">
        <f>32510</f>
        <v>32510</v>
      </c>
      <c r="N80" s="32" t="s">
        <v>1114</v>
      </c>
      <c r="O80" s="31">
        <f>29405</f>
        <v>29405</v>
      </c>
      <c r="P80" s="32" t="s">
        <v>674</v>
      </c>
      <c r="Q80" s="31">
        <f>32420</f>
        <v>32420</v>
      </c>
      <c r="R80" s="32" t="s">
        <v>1114</v>
      </c>
      <c r="S80" s="33">
        <f>31111</f>
        <v>31111</v>
      </c>
      <c r="T80" s="30">
        <f>1448654</f>
        <v>1448654</v>
      </c>
      <c r="U80" s="30">
        <f>42493</f>
        <v>42493</v>
      </c>
      <c r="V80" s="30">
        <f>45208938487</f>
        <v>45208938487</v>
      </c>
      <c r="W80" s="30">
        <f>1295832062</f>
        <v>1295832062</v>
      </c>
      <c r="X80" s="34">
        <f>20</f>
        <v>20</v>
      </c>
    </row>
    <row r="81" spans="1:24">
      <c r="A81" s="25" t="s">
        <v>1172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59810</f>
        <v>59810</v>
      </c>
      <c r="L81" s="32" t="s">
        <v>1145</v>
      </c>
      <c r="M81" s="31">
        <f>61920</f>
        <v>61920</v>
      </c>
      <c r="N81" s="32" t="s">
        <v>1114</v>
      </c>
      <c r="O81" s="31">
        <f>58980</f>
        <v>58980</v>
      </c>
      <c r="P81" s="32" t="s">
        <v>674</v>
      </c>
      <c r="Q81" s="31">
        <f>61690</f>
        <v>61690</v>
      </c>
      <c r="R81" s="32" t="s">
        <v>1114</v>
      </c>
      <c r="S81" s="33">
        <f>60248.5</f>
        <v>60248.5</v>
      </c>
      <c r="T81" s="30">
        <f>60330</f>
        <v>60330</v>
      </c>
      <c r="U81" s="30">
        <f>1011</f>
        <v>1011</v>
      </c>
      <c r="V81" s="30">
        <f>3644781360</f>
        <v>3644781360</v>
      </c>
      <c r="W81" s="30">
        <f>59726670</f>
        <v>59726670</v>
      </c>
      <c r="X81" s="34">
        <f>20</f>
        <v>20</v>
      </c>
    </row>
    <row r="82" spans="1:24">
      <c r="A82" s="25" t="s">
        <v>1172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9042</f>
        <v>9042</v>
      </c>
      <c r="L82" s="32" t="s">
        <v>1145</v>
      </c>
      <c r="M82" s="31">
        <f>9653</f>
        <v>9653</v>
      </c>
      <c r="N82" s="32" t="s">
        <v>1114</v>
      </c>
      <c r="O82" s="31">
        <f>8947</f>
        <v>8947</v>
      </c>
      <c r="P82" s="32" t="s">
        <v>674</v>
      </c>
      <c r="Q82" s="31">
        <f>9635</f>
        <v>9635</v>
      </c>
      <c r="R82" s="32" t="s">
        <v>1114</v>
      </c>
      <c r="S82" s="33">
        <f>9315.2</f>
        <v>9315.2000000000007</v>
      </c>
      <c r="T82" s="30">
        <f>911430</f>
        <v>911430</v>
      </c>
      <c r="U82" s="30">
        <f>214820</f>
        <v>214820</v>
      </c>
      <c r="V82" s="30">
        <f>8472257880</f>
        <v>8472257880</v>
      </c>
      <c r="W82" s="30">
        <f>1984880230</f>
        <v>1984880230</v>
      </c>
      <c r="X82" s="34">
        <f>20</f>
        <v>20</v>
      </c>
    </row>
    <row r="83" spans="1:24">
      <c r="A83" s="25" t="s">
        <v>1172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5665</f>
        <v>5665</v>
      </c>
      <c r="L83" s="32" t="s">
        <v>1145</v>
      </c>
      <c r="M83" s="31">
        <f>5925</f>
        <v>5925</v>
      </c>
      <c r="N83" s="32" t="s">
        <v>1114</v>
      </c>
      <c r="O83" s="31">
        <f>5581</f>
        <v>5581</v>
      </c>
      <c r="P83" s="32" t="s">
        <v>675</v>
      </c>
      <c r="Q83" s="31">
        <f>5893</f>
        <v>5893</v>
      </c>
      <c r="R83" s="32" t="s">
        <v>1114</v>
      </c>
      <c r="S83" s="33">
        <f>5739.8</f>
        <v>5739.8</v>
      </c>
      <c r="T83" s="30">
        <f>183880</f>
        <v>183880</v>
      </c>
      <c r="U83" s="30">
        <f>9240</f>
        <v>9240</v>
      </c>
      <c r="V83" s="30">
        <f>1055147414</f>
        <v>1055147414</v>
      </c>
      <c r="W83" s="30">
        <f>52601984</f>
        <v>52601984</v>
      </c>
      <c r="X83" s="34">
        <f>20</f>
        <v>20</v>
      </c>
    </row>
    <row r="84" spans="1:24">
      <c r="A84" s="25" t="s">
        <v>1172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4995</f>
        <v>4995</v>
      </c>
      <c r="L84" s="32" t="s">
        <v>1145</v>
      </c>
      <c r="M84" s="31">
        <f>5200</f>
        <v>5200</v>
      </c>
      <c r="N84" s="32" t="s">
        <v>1114</v>
      </c>
      <c r="O84" s="31">
        <f>4839</f>
        <v>4839</v>
      </c>
      <c r="P84" s="32" t="s">
        <v>682</v>
      </c>
      <c r="Q84" s="31">
        <f>5173</f>
        <v>5173</v>
      </c>
      <c r="R84" s="32" t="s">
        <v>1114</v>
      </c>
      <c r="S84" s="33">
        <f>4982.37</f>
        <v>4982.37</v>
      </c>
      <c r="T84" s="30">
        <f>8310</f>
        <v>8310</v>
      </c>
      <c r="U84" s="30" t="str">
        <f>"－"</f>
        <v>－</v>
      </c>
      <c r="V84" s="30">
        <f>41923040</f>
        <v>41923040</v>
      </c>
      <c r="W84" s="30" t="str">
        <f>"－"</f>
        <v>－</v>
      </c>
      <c r="X84" s="34">
        <f>19</f>
        <v>19</v>
      </c>
    </row>
    <row r="85" spans="1:24">
      <c r="A85" s="25" t="s">
        <v>1172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4672</f>
        <v>4672</v>
      </c>
      <c r="L85" s="32" t="s">
        <v>1145</v>
      </c>
      <c r="M85" s="31">
        <f>4918</f>
        <v>4918</v>
      </c>
      <c r="N85" s="32" t="s">
        <v>1114</v>
      </c>
      <c r="O85" s="31">
        <f>4602</f>
        <v>4602</v>
      </c>
      <c r="P85" s="32" t="s">
        <v>674</v>
      </c>
      <c r="Q85" s="31">
        <f>4912</f>
        <v>4912</v>
      </c>
      <c r="R85" s="32" t="s">
        <v>1114</v>
      </c>
      <c r="S85" s="33">
        <f>4772.1</f>
        <v>4772.1000000000004</v>
      </c>
      <c r="T85" s="30">
        <f>86060</f>
        <v>86060</v>
      </c>
      <c r="U85" s="30" t="str">
        <f>"－"</f>
        <v>－</v>
      </c>
      <c r="V85" s="30">
        <f>410237550</f>
        <v>410237550</v>
      </c>
      <c r="W85" s="30" t="str">
        <f>"－"</f>
        <v>－</v>
      </c>
      <c r="X85" s="34">
        <f>20</f>
        <v>20</v>
      </c>
    </row>
    <row r="86" spans="1:24">
      <c r="A86" s="25" t="s">
        <v>1172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2277</f>
        <v>2277</v>
      </c>
      <c r="L86" s="32" t="s">
        <v>1145</v>
      </c>
      <c r="M86" s="31">
        <f>2378</f>
        <v>2378</v>
      </c>
      <c r="N86" s="32" t="s">
        <v>679</v>
      </c>
      <c r="O86" s="31">
        <f>2254.5</f>
        <v>2254.5</v>
      </c>
      <c r="P86" s="32" t="s">
        <v>677</v>
      </c>
      <c r="Q86" s="31">
        <f>2338</f>
        <v>2338</v>
      </c>
      <c r="R86" s="32" t="s">
        <v>1114</v>
      </c>
      <c r="S86" s="33">
        <f>2314.48</f>
        <v>2314.48</v>
      </c>
      <c r="T86" s="30">
        <f>170520</f>
        <v>170520</v>
      </c>
      <c r="U86" s="30">
        <f>110000</f>
        <v>110000</v>
      </c>
      <c r="V86" s="30">
        <f>388764885</f>
        <v>388764885</v>
      </c>
      <c r="W86" s="30">
        <f>248912400</f>
        <v>248912400</v>
      </c>
      <c r="X86" s="34">
        <f>20</f>
        <v>20</v>
      </c>
    </row>
    <row r="87" spans="1:24">
      <c r="A87" s="25" t="s">
        <v>1172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82980</f>
        <v>82980</v>
      </c>
      <c r="L87" s="32" t="s">
        <v>1145</v>
      </c>
      <c r="M87" s="31">
        <f>88310</f>
        <v>88310</v>
      </c>
      <c r="N87" s="32" t="s">
        <v>1114</v>
      </c>
      <c r="O87" s="31">
        <f>82070</f>
        <v>82070</v>
      </c>
      <c r="P87" s="32" t="s">
        <v>674</v>
      </c>
      <c r="Q87" s="31">
        <f>88170</f>
        <v>88170</v>
      </c>
      <c r="R87" s="32" t="s">
        <v>1114</v>
      </c>
      <c r="S87" s="33">
        <f>85384</f>
        <v>85384</v>
      </c>
      <c r="T87" s="30">
        <f>79795</f>
        <v>79795</v>
      </c>
      <c r="U87" s="30">
        <f>1718</f>
        <v>1718</v>
      </c>
      <c r="V87" s="30">
        <f>6814347637</f>
        <v>6814347637</v>
      </c>
      <c r="W87" s="30">
        <f>147598427</f>
        <v>147598427</v>
      </c>
      <c r="X87" s="34">
        <f>20</f>
        <v>20</v>
      </c>
    </row>
    <row r="88" spans="1:24">
      <c r="A88" s="25" t="s">
        <v>1172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3195</f>
        <v>3195</v>
      </c>
      <c r="L88" s="32" t="s">
        <v>1145</v>
      </c>
      <c r="M88" s="31">
        <f>3315</f>
        <v>3315</v>
      </c>
      <c r="N88" s="32" t="s">
        <v>1111</v>
      </c>
      <c r="O88" s="31">
        <f>3100</f>
        <v>3100</v>
      </c>
      <c r="P88" s="32" t="s">
        <v>1118</v>
      </c>
      <c r="Q88" s="31">
        <f>3310</f>
        <v>3310</v>
      </c>
      <c r="R88" s="32" t="s">
        <v>1114</v>
      </c>
      <c r="S88" s="33">
        <f>3203.75</f>
        <v>3203.75</v>
      </c>
      <c r="T88" s="30">
        <f>15592</f>
        <v>15592</v>
      </c>
      <c r="U88" s="30" t="str">
        <f>"－"</f>
        <v>－</v>
      </c>
      <c r="V88" s="30">
        <f>50840050</f>
        <v>50840050</v>
      </c>
      <c r="W88" s="30" t="str">
        <f>"－"</f>
        <v>－</v>
      </c>
      <c r="X88" s="34">
        <f>20</f>
        <v>20</v>
      </c>
    </row>
    <row r="89" spans="1:24">
      <c r="A89" s="25" t="s">
        <v>1172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5180</f>
        <v>5180</v>
      </c>
      <c r="L89" s="32" t="s">
        <v>1145</v>
      </c>
      <c r="M89" s="31">
        <f>5300</f>
        <v>5300</v>
      </c>
      <c r="N89" s="32" t="s">
        <v>1111</v>
      </c>
      <c r="O89" s="31">
        <f>5100</f>
        <v>5100</v>
      </c>
      <c r="P89" s="32" t="s">
        <v>1145</v>
      </c>
      <c r="Q89" s="31">
        <f>5240</f>
        <v>5240</v>
      </c>
      <c r="R89" s="32" t="s">
        <v>1114</v>
      </c>
      <c r="S89" s="33">
        <f>5189</f>
        <v>5189</v>
      </c>
      <c r="T89" s="30">
        <f>11071</f>
        <v>11071</v>
      </c>
      <c r="U89" s="30" t="str">
        <f>"－"</f>
        <v>－</v>
      </c>
      <c r="V89" s="30">
        <f>57946930</f>
        <v>57946930</v>
      </c>
      <c r="W89" s="30" t="str">
        <f>"－"</f>
        <v>－</v>
      </c>
      <c r="X89" s="34">
        <f>20</f>
        <v>20</v>
      </c>
    </row>
    <row r="90" spans="1:24">
      <c r="A90" s="25" t="s">
        <v>1172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2099</f>
        <v>2099</v>
      </c>
      <c r="L90" s="32" t="s">
        <v>1145</v>
      </c>
      <c r="M90" s="31">
        <f>2237</f>
        <v>2237</v>
      </c>
      <c r="N90" s="32" t="s">
        <v>1114</v>
      </c>
      <c r="O90" s="31">
        <f>2061</f>
        <v>2061</v>
      </c>
      <c r="P90" s="32" t="s">
        <v>1124</v>
      </c>
      <c r="Q90" s="31">
        <f>2179</f>
        <v>2179</v>
      </c>
      <c r="R90" s="32" t="s">
        <v>1114</v>
      </c>
      <c r="S90" s="33">
        <f>2119.1</f>
        <v>2119.1</v>
      </c>
      <c r="T90" s="30">
        <f>1196778</f>
        <v>1196778</v>
      </c>
      <c r="U90" s="30">
        <f>32420</f>
        <v>32420</v>
      </c>
      <c r="V90" s="30">
        <f>2543902475</f>
        <v>2543902475</v>
      </c>
      <c r="W90" s="30">
        <f>69215465</f>
        <v>69215465</v>
      </c>
      <c r="X90" s="34">
        <f>20</f>
        <v>20</v>
      </c>
    </row>
    <row r="91" spans="1:24">
      <c r="A91" s="25" t="s">
        <v>1172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50360</f>
        <v>50360</v>
      </c>
      <c r="L91" s="32" t="s">
        <v>1145</v>
      </c>
      <c r="M91" s="31">
        <f>51070</f>
        <v>51070</v>
      </c>
      <c r="N91" s="32" t="s">
        <v>1114</v>
      </c>
      <c r="O91" s="31">
        <f>49510</f>
        <v>49510</v>
      </c>
      <c r="P91" s="32" t="s">
        <v>674</v>
      </c>
      <c r="Q91" s="31">
        <f>51070</f>
        <v>51070</v>
      </c>
      <c r="R91" s="32" t="s">
        <v>1114</v>
      </c>
      <c r="S91" s="33">
        <f>50255.5</f>
        <v>50255.5</v>
      </c>
      <c r="T91" s="30">
        <f>14118</f>
        <v>14118</v>
      </c>
      <c r="U91" s="30">
        <f>2220</f>
        <v>2220</v>
      </c>
      <c r="V91" s="30">
        <f>710828833</f>
        <v>710828833</v>
      </c>
      <c r="W91" s="30">
        <f>111331023</f>
        <v>111331023</v>
      </c>
      <c r="X91" s="34">
        <f>20</f>
        <v>20</v>
      </c>
    </row>
    <row r="92" spans="1:24">
      <c r="A92" s="25" t="s">
        <v>1172</v>
      </c>
      <c r="B92" s="25" t="s">
        <v>259</v>
      </c>
      <c r="C92" s="25" t="s">
        <v>260</v>
      </c>
      <c r="D92" s="25" t="s">
        <v>261</v>
      </c>
      <c r="E92" s="26" t="s">
        <v>1076</v>
      </c>
      <c r="F92" s="27" t="s">
        <v>1077</v>
      </c>
      <c r="G92" s="28" t="s">
        <v>43</v>
      </c>
      <c r="H92" s="29"/>
      <c r="I92" s="29" t="s">
        <v>44</v>
      </c>
      <c r="J92" s="30">
        <v>10</v>
      </c>
      <c r="K92" s="31">
        <f>51020</f>
        <v>51020</v>
      </c>
      <c r="L92" s="32" t="s">
        <v>1145</v>
      </c>
      <c r="M92" s="31">
        <f>51620</f>
        <v>51620</v>
      </c>
      <c r="N92" s="32" t="s">
        <v>1145</v>
      </c>
      <c r="O92" s="31">
        <f>47210</f>
        <v>47210</v>
      </c>
      <c r="P92" s="32" t="s">
        <v>682</v>
      </c>
      <c r="Q92" s="31">
        <f>50790</f>
        <v>50790</v>
      </c>
      <c r="R92" s="32" t="s">
        <v>1111</v>
      </c>
      <c r="S92" s="33">
        <f>49525.79</f>
        <v>49525.79</v>
      </c>
      <c r="T92" s="30">
        <f>1421100</f>
        <v>1421100</v>
      </c>
      <c r="U92" s="30">
        <f>9160</f>
        <v>9160</v>
      </c>
      <c r="V92" s="30">
        <f>70376267550</f>
        <v>70376267550</v>
      </c>
      <c r="W92" s="30">
        <f>457989150</f>
        <v>457989150</v>
      </c>
      <c r="X92" s="34">
        <f>19</f>
        <v>19</v>
      </c>
    </row>
    <row r="93" spans="1:24">
      <c r="A93" s="25" t="s">
        <v>1172</v>
      </c>
      <c r="B93" s="25" t="s">
        <v>259</v>
      </c>
      <c r="C93" s="25" t="s">
        <v>260</v>
      </c>
      <c r="D93" s="25" t="s">
        <v>261</v>
      </c>
      <c r="E93" s="26" t="s">
        <v>1076</v>
      </c>
      <c r="F93" s="27" t="s">
        <v>1077</v>
      </c>
      <c r="G93" s="28" t="s">
        <v>43</v>
      </c>
      <c r="H93" s="29"/>
      <c r="I93" s="29" t="s">
        <v>44</v>
      </c>
      <c r="J93" s="30">
        <v>10</v>
      </c>
      <c r="K93" s="31">
        <f>512</f>
        <v>512</v>
      </c>
      <c r="L93" s="32" t="s">
        <v>1114</v>
      </c>
      <c r="M93" s="31">
        <f>520</f>
        <v>520</v>
      </c>
      <c r="N93" s="32" t="s">
        <v>1114</v>
      </c>
      <c r="O93" s="31">
        <f>505</f>
        <v>505</v>
      </c>
      <c r="P93" s="32" t="s">
        <v>1114</v>
      </c>
      <c r="Q93" s="31">
        <f>515</f>
        <v>515</v>
      </c>
      <c r="R93" s="32" t="s">
        <v>1114</v>
      </c>
      <c r="S93" s="33">
        <f>515</f>
        <v>515</v>
      </c>
      <c r="T93" s="30">
        <f>4436360</f>
        <v>4436360</v>
      </c>
      <c r="U93" s="30">
        <f>5000</f>
        <v>5000</v>
      </c>
      <c r="V93" s="30">
        <f>2285477222</f>
        <v>2285477222</v>
      </c>
      <c r="W93" s="30">
        <f>2600000</f>
        <v>2600000</v>
      </c>
      <c r="X93" s="34">
        <f>1</f>
        <v>1</v>
      </c>
    </row>
    <row r="94" spans="1:24">
      <c r="A94" s="25" t="s">
        <v>1172</v>
      </c>
      <c r="B94" s="25" t="s">
        <v>262</v>
      </c>
      <c r="C94" s="25" t="s">
        <v>263</v>
      </c>
      <c r="D94" s="25" t="s">
        <v>264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1295</f>
        <v>1295</v>
      </c>
      <c r="L94" s="32" t="s">
        <v>1145</v>
      </c>
      <c r="M94" s="31">
        <f>1343</f>
        <v>1343</v>
      </c>
      <c r="N94" s="32" t="s">
        <v>682</v>
      </c>
      <c r="O94" s="31">
        <f>1279</f>
        <v>1279</v>
      </c>
      <c r="P94" s="32" t="s">
        <v>1114</v>
      </c>
      <c r="Q94" s="31">
        <f>1285</f>
        <v>1285</v>
      </c>
      <c r="R94" s="32" t="s">
        <v>1114</v>
      </c>
      <c r="S94" s="33">
        <f>1311.13</f>
        <v>1311.13</v>
      </c>
      <c r="T94" s="30">
        <f>1108830</f>
        <v>1108830</v>
      </c>
      <c r="U94" s="30">
        <f>396910</f>
        <v>396910</v>
      </c>
      <c r="V94" s="30">
        <f>1441666775</f>
        <v>1441666775</v>
      </c>
      <c r="W94" s="30">
        <f>509114755</f>
        <v>509114755</v>
      </c>
      <c r="X94" s="34">
        <f>20</f>
        <v>20</v>
      </c>
    </row>
    <row r="95" spans="1:24">
      <c r="A95" s="25" t="s">
        <v>1172</v>
      </c>
      <c r="B95" s="25" t="s">
        <v>265</v>
      </c>
      <c r="C95" s="25" t="s">
        <v>266</v>
      </c>
      <c r="D95" s="25" t="s">
        <v>267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28180</f>
        <v>28180</v>
      </c>
      <c r="L95" s="32" t="s">
        <v>1145</v>
      </c>
      <c r="M95" s="31">
        <f>29600</f>
        <v>29600</v>
      </c>
      <c r="N95" s="32" t="s">
        <v>1114</v>
      </c>
      <c r="O95" s="31">
        <f>26935</f>
        <v>26935</v>
      </c>
      <c r="P95" s="32" t="s">
        <v>682</v>
      </c>
      <c r="Q95" s="31">
        <f>29250</f>
        <v>29250</v>
      </c>
      <c r="R95" s="32" t="s">
        <v>1114</v>
      </c>
      <c r="S95" s="33">
        <f>28265.5</f>
        <v>28265.5</v>
      </c>
      <c r="T95" s="30">
        <f>96710051</f>
        <v>96710051</v>
      </c>
      <c r="U95" s="30">
        <f>570577</f>
        <v>570577</v>
      </c>
      <c r="V95" s="30">
        <f>2733657154653</f>
        <v>2733657154653</v>
      </c>
      <c r="W95" s="30">
        <f>16211351758</f>
        <v>16211351758</v>
      </c>
      <c r="X95" s="34">
        <f>20</f>
        <v>20</v>
      </c>
    </row>
    <row r="96" spans="1:24">
      <c r="A96" s="25" t="s">
        <v>1172</v>
      </c>
      <c r="B96" s="25" t="s">
        <v>268</v>
      </c>
      <c r="C96" s="25" t="s">
        <v>269</v>
      </c>
      <c r="D96" s="25" t="s">
        <v>270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626</f>
        <v>626</v>
      </c>
      <c r="L96" s="32" t="s">
        <v>1145</v>
      </c>
      <c r="M96" s="31">
        <f>639</f>
        <v>639</v>
      </c>
      <c r="N96" s="32" t="s">
        <v>682</v>
      </c>
      <c r="O96" s="31">
        <f>608</f>
        <v>608</v>
      </c>
      <c r="P96" s="32" t="s">
        <v>676</v>
      </c>
      <c r="Q96" s="31">
        <f>612</f>
        <v>612</v>
      </c>
      <c r="R96" s="32" t="s">
        <v>1114</v>
      </c>
      <c r="S96" s="33">
        <f>623.45</f>
        <v>623.45000000000005</v>
      </c>
      <c r="T96" s="30">
        <f>24844824</f>
        <v>24844824</v>
      </c>
      <c r="U96" s="30">
        <f>557396</f>
        <v>557396</v>
      </c>
      <c r="V96" s="30">
        <f>15449939950</f>
        <v>15449939950</v>
      </c>
      <c r="W96" s="30">
        <f>346000000</f>
        <v>346000000</v>
      </c>
      <c r="X96" s="34">
        <f>20</f>
        <v>20</v>
      </c>
    </row>
    <row r="97" spans="1:24">
      <c r="A97" s="25" t="s">
        <v>1172</v>
      </c>
      <c r="B97" s="25" t="s">
        <v>271</v>
      </c>
      <c r="C97" s="25" t="s">
        <v>272</v>
      </c>
      <c r="D97" s="25" t="s">
        <v>273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4548</f>
        <v>4548</v>
      </c>
      <c r="L97" s="32" t="s">
        <v>1145</v>
      </c>
      <c r="M97" s="31">
        <f>4824</f>
        <v>4824</v>
      </c>
      <c r="N97" s="32" t="s">
        <v>1118</v>
      </c>
      <c r="O97" s="31">
        <f>4345</f>
        <v>4345</v>
      </c>
      <c r="P97" s="32" t="s">
        <v>682</v>
      </c>
      <c r="Q97" s="31">
        <f>4526</f>
        <v>4526</v>
      </c>
      <c r="R97" s="32" t="s">
        <v>1114</v>
      </c>
      <c r="S97" s="33">
        <f>4577.1</f>
        <v>4577.1000000000004</v>
      </c>
      <c r="T97" s="30">
        <f>477740</f>
        <v>477740</v>
      </c>
      <c r="U97" s="30">
        <f>20</f>
        <v>20</v>
      </c>
      <c r="V97" s="30">
        <f>2186197800</f>
        <v>2186197800</v>
      </c>
      <c r="W97" s="30">
        <f>88220</f>
        <v>88220</v>
      </c>
      <c r="X97" s="34">
        <f>20</f>
        <v>20</v>
      </c>
    </row>
    <row r="98" spans="1:24">
      <c r="A98" s="25" t="s">
        <v>1172</v>
      </c>
      <c r="B98" s="25" t="s">
        <v>274</v>
      </c>
      <c r="C98" s="25" t="s">
        <v>275</v>
      </c>
      <c r="D98" s="25" t="s">
        <v>276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12200</f>
        <v>12200</v>
      </c>
      <c r="L98" s="32" t="s">
        <v>1145</v>
      </c>
      <c r="M98" s="31">
        <f>12750</f>
        <v>12750</v>
      </c>
      <c r="N98" s="32" t="s">
        <v>1114</v>
      </c>
      <c r="O98" s="31">
        <f>11750</f>
        <v>11750</v>
      </c>
      <c r="P98" s="32" t="s">
        <v>1124</v>
      </c>
      <c r="Q98" s="31">
        <f>12560</f>
        <v>12560</v>
      </c>
      <c r="R98" s="32" t="s">
        <v>1114</v>
      </c>
      <c r="S98" s="33">
        <f>12200.25</f>
        <v>12200.25</v>
      </c>
      <c r="T98" s="30">
        <f>21200</f>
        <v>21200</v>
      </c>
      <c r="U98" s="30" t="str">
        <f>"－"</f>
        <v>－</v>
      </c>
      <c r="V98" s="30">
        <f>258853700</f>
        <v>258853700</v>
      </c>
      <c r="W98" s="30" t="str">
        <f>"－"</f>
        <v>－</v>
      </c>
      <c r="X98" s="34">
        <f>20</f>
        <v>20</v>
      </c>
    </row>
    <row r="99" spans="1:24">
      <c r="A99" s="25" t="s">
        <v>1172</v>
      </c>
      <c r="B99" s="25" t="s">
        <v>277</v>
      </c>
      <c r="C99" s="25" t="s">
        <v>278</v>
      </c>
      <c r="D99" s="25" t="s">
        <v>972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38640</f>
        <v>38640</v>
      </c>
      <c r="L99" s="32" t="s">
        <v>1145</v>
      </c>
      <c r="M99" s="31">
        <f>39060</f>
        <v>39060</v>
      </c>
      <c r="N99" s="32" t="s">
        <v>1145</v>
      </c>
      <c r="O99" s="31">
        <f>36800</f>
        <v>36800</v>
      </c>
      <c r="P99" s="32" t="s">
        <v>1118</v>
      </c>
      <c r="Q99" s="31">
        <f>38580</f>
        <v>38580</v>
      </c>
      <c r="R99" s="32" t="s">
        <v>1114</v>
      </c>
      <c r="S99" s="33">
        <f>37858</f>
        <v>37858</v>
      </c>
      <c r="T99" s="30">
        <f>74754</f>
        <v>74754</v>
      </c>
      <c r="U99" s="30">
        <f>12784</f>
        <v>12784</v>
      </c>
      <c r="V99" s="30">
        <f>2824661976</f>
        <v>2824661976</v>
      </c>
      <c r="W99" s="30">
        <f>479686396</f>
        <v>479686396</v>
      </c>
      <c r="X99" s="34">
        <f>20</f>
        <v>20</v>
      </c>
    </row>
    <row r="100" spans="1:24">
      <c r="A100" s="25" t="s">
        <v>1172</v>
      </c>
      <c r="B100" s="25" t="s">
        <v>279</v>
      </c>
      <c r="C100" s="25" t="s">
        <v>280</v>
      </c>
      <c r="D100" s="25" t="s">
        <v>281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3115</f>
        <v>3115</v>
      </c>
      <c r="L100" s="32" t="s">
        <v>1145</v>
      </c>
      <c r="M100" s="31">
        <f>3195</f>
        <v>3195</v>
      </c>
      <c r="N100" s="32" t="s">
        <v>676</v>
      </c>
      <c r="O100" s="31">
        <f>3040</f>
        <v>3040</v>
      </c>
      <c r="P100" s="32" t="s">
        <v>682</v>
      </c>
      <c r="Q100" s="31">
        <f>3170</f>
        <v>3170</v>
      </c>
      <c r="R100" s="32" t="s">
        <v>1114</v>
      </c>
      <c r="S100" s="33">
        <f>3114.5</f>
        <v>3114.5</v>
      </c>
      <c r="T100" s="30">
        <f>111749</f>
        <v>111749</v>
      </c>
      <c r="U100" s="30">
        <f>17065</f>
        <v>17065</v>
      </c>
      <c r="V100" s="30">
        <f>347324172</f>
        <v>347324172</v>
      </c>
      <c r="W100" s="30">
        <f>53089367</f>
        <v>53089367</v>
      </c>
      <c r="X100" s="34">
        <f>20</f>
        <v>20</v>
      </c>
    </row>
    <row r="101" spans="1:24">
      <c r="A101" s="25" t="s">
        <v>1172</v>
      </c>
      <c r="B101" s="25" t="s">
        <v>282</v>
      </c>
      <c r="C101" s="25" t="s">
        <v>283</v>
      </c>
      <c r="D101" s="25" t="s">
        <v>284</v>
      </c>
      <c r="E101" s="26" t="s">
        <v>1076</v>
      </c>
      <c r="F101" s="27" t="s">
        <v>1077</v>
      </c>
      <c r="G101" s="28" t="s">
        <v>43</v>
      </c>
      <c r="H101" s="29"/>
      <c r="I101" s="29" t="s">
        <v>44</v>
      </c>
      <c r="J101" s="30">
        <v>10</v>
      </c>
      <c r="K101" s="31">
        <f>30120</f>
        <v>30120</v>
      </c>
      <c r="L101" s="32" t="s">
        <v>1145</v>
      </c>
      <c r="M101" s="31">
        <f>31640</f>
        <v>31640</v>
      </c>
      <c r="N101" s="32" t="s">
        <v>676</v>
      </c>
      <c r="O101" s="31">
        <f>28785</f>
        <v>28785</v>
      </c>
      <c r="P101" s="32" t="s">
        <v>682</v>
      </c>
      <c r="Q101" s="31">
        <f>30880</f>
        <v>30880</v>
      </c>
      <c r="R101" s="32" t="s">
        <v>1111</v>
      </c>
      <c r="S101" s="33">
        <f>30151.58</f>
        <v>30151.58</v>
      </c>
      <c r="T101" s="30">
        <f>8025800</f>
        <v>8025800</v>
      </c>
      <c r="U101" s="30">
        <f>175660</f>
        <v>175660</v>
      </c>
      <c r="V101" s="30">
        <f>241003787275</f>
        <v>241003787275</v>
      </c>
      <c r="W101" s="30">
        <f>5311799875</f>
        <v>5311799875</v>
      </c>
      <c r="X101" s="34">
        <f>19</f>
        <v>19</v>
      </c>
    </row>
    <row r="102" spans="1:24">
      <c r="A102" s="25" t="s">
        <v>1172</v>
      </c>
      <c r="B102" s="25" t="s">
        <v>282</v>
      </c>
      <c r="C102" s="25" t="s">
        <v>283</v>
      </c>
      <c r="D102" s="25" t="s">
        <v>284</v>
      </c>
      <c r="E102" s="26" t="s">
        <v>1076</v>
      </c>
      <c r="F102" s="27" t="s">
        <v>1077</v>
      </c>
      <c r="G102" s="28" t="s">
        <v>43</v>
      </c>
      <c r="H102" s="29"/>
      <c r="I102" s="29" t="s">
        <v>44</v>
      </c>
      <c r="J102" s="30">
        <v>10</v>
      </c>
      <c r="K102" s="31">
        <f>312</f>
        <v>312</v>
      </c>
      <c r="L102" s="32" t="s">
        <v>1114</v>
      </c>
      <c r="M102" s="31">
        <f>316.8</f>
        <v>316.8</v>
      </c>
      <c r="N102" s="32" t="s">
        <v>1114</v>
      </c>
      <c r="O102" s="31">
        <f>308.2</f>
        <v>308.2</v>
      </c>
      <c r="P102" s="32" t="s">
        <v>1114</v>
      </c>
      <c r="Q102" s="31">
        <f>313</f>
        <v>313</v>
      </c>
      <c r="R102" s="32" t="s">
        <v>1114</v>
      </c>
      <c r="S102" s="33">
        <f>313</f>
        <v>313</v>
      </c>
      <c r="T102" s="30">
        <f>25967660</f>
        <v>25967660</v>
      </c>
      <c r="U102" s="30">
        <f>170470</f>
        <v>170470</v>
      </c>
      <c r="V102" s="30">
        <f>8158759912</f>
        <v>8158759912</v>
      </c>
      <c r="W102" s="30">
        <f>53638409</f>
        <v>53638409</v>
      </c>
      <c r="X102" s="34">
        <f>1</f>
        <v>1</v>
      </c>
    </row>
    <row r="103" spans="1:24">
      <c r="A103" s="25" t="s">
        <v>1172</v>
      </c>
      <c r="B103" s="25" t="s">
        <v>285</v>
      </c>
      <c r="C103" s="25" t="s">
        <v>286</v>
      </c>
      <c r="D103" s="25" t="s">
        <v>287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1659</f>
        <v>1659</v>
      </c>
      <c r="L103" s="32" t="s">
        <v>1145</v>
      </c>
      <c r="M103" s="31">
        <f>1692</f>
        <v>1692</v>
      </c>
      <c r="N103" s="32" t="s">
        <v>682</v>
      </c>
      <c r="O103" s="31">
        <f>1612.5</f>
        <v>1612.5</v>
      </c>
      <c r="P103" s="32" t="s">
        <v>1114</v>
      </c>
      <c r="Q103" s="31">
        <f>1620.5</f>
        <v>1620.5</v>
      </c>
      <c r="R103" s="32" t="s">
        <v>1114</v>
      </c>
      <c r="S103" s="33">
        <f>1653.13</f>
        <v>1653.13</v>
      </c>
      <c r="T103" s="30">
        <f>2129890</f>
        <v>2129890</v>
      </c>
      <c r="U103" s="30">
        <f>120930</f>
        <v>120930</v>
      </c>
      <c r="V103" s="30">
        <f>3514046842</f>
        <v>3514046842</v>
      </c>
      <c r="W103" s="30">
        <f>199996267</f>
        <v>199996267</v>
      </c>
      <c r="X103" s="34">
        <f>20</f>
        <v>20</v>
      </c>
    </row>
    <row r="104" spans="1:24">
      <c r="A104" s="25" t="s">
        <v>1172</v>
      </c>
      <c r="B104" s="25" t="s">
        <v>288</v>
      </c>
      <c r="C104" s="25" t="s">
        <v>922</v>
      </c>
      <c r="D104" s="25" t="s">
        <v>923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10</v>
      </c>
      <c r="K104" s="31">
        <f>1925</f>
        <v>1925</v>
      </c>
      <c r="L104" s="32" t="s">
        <v>1145</v>
      </c>
      <c r="M104" s="31">
        <f>1945.5</f>
        <v>1945.5</v>
      </c>
      <c r="N104" s="32" t="s">
        <v>1114</v>
      </c>
      <c r="O104" s="31">
        <f>1875</f>
        <v>1875</v>
      </c>
      <c r="P104" s="32" t="s">
        <v>682</v>
      </c>
      <c r="Q104" s="31">
        <f>1938.5</f>
        <v>1938.5</v>
      </c>
      <c r="R104" s="32" t="s">
        <v>1114</v>
      </c>
      <c r="S104" s="33">
        <f>1909.18</f>
        <v>1909.18</v>
      </c>
      <c r="T104" s="30">
        <f>19950</f>
        <v>19950</v>
      </c>
      <c r="U104" s="30">
        <f>50</f>
        <v>50</v>
      </c>
      <c r="V104" s="30">
        <f>38046805</f>
        <v>38046805</v>
      </c>
      <c r="W104" s="30">
        <f>94950</f>
        <v>94950</v>
      </c>
      <c r="X104" s="34">
        <f>20</f>
        <v>20</v>
      </c>
    </row>
    <row r="105" spans="1:24">
      <c r="A105" s="25" t="s">
        <v>1172</v>
      </c>
      <c r="B105" s="25" t="s">
        <v>289</v>
      </c>
      <c r="C105" s="25" t="s">
        <v>290</v>
      </c>
      <c r="D105" s="25" t="s">
        <v>291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2240</f>
        <v>2240</v>
      </c>
      <c r="L105" s="32" t="s">
        <v>1145</v>
      </c>
      <c r="M105" s="31">
        <f>2260</f>
        <v>2260</v>
      </c>
      <c r="N105" s="32" t="s">
        <v>1114</v>
      </c>
      <c r="O105" s="31">
        <f>2189</f>
        <v>2189</v>
      </c>
      <c r="P105" s="32" t="s">
        <v>1118</v>
      </c>
      <c r="Q105" s="31">
        <f>2260</f>
        <v>2260</v>
      </c>
      <c r="R105" s="32" t="s">
        <v>1114</v>
      </c>
      <c r="S105" s="33">
        <f>2226.05</f>
        <v>2226.0500000000002</v>
      </c>
      <c r="T105" s="30">
        <f>1480</f>
        <v>1480</v>
      </c>
      <c r="U105" s="30">
        <f>100</f>
        <v>100</v>
      </c>
      <c r="V105" s="30">
        <f>3293043</f>
        <v>3293043</v>
      </c>
      <c r="W105" s="30">
        <f>219740</f>
        <v>219740</v>
      </c>
      <c r="X105" s="34">
        <f>20</f>
        <v>20</v>
      </c>
    </row>
    <row r="106" spans="1:24">
      <c r="A106" s="25" t="s">
        <v>1172</v>
      </c>
      <c r="B106" s="25" t="s">
        <v>292</v>
      </c>
      <c r="C106" s="25" t="s">
        <v>293</v>
      </c>
      <c r="D106" s="25" t="s">
        <v>294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25550</f>
        <v>25550</v>
      </c>
      <c r="L106" s="32" t="s">
        <v>1145</v>
      </c>
      <c r="M106" s="31">
        <f>25890</f>
        <v>25890</v>
      </c>
      <c r="N106" s="32" t="s">
        <v>1114</v>
      </c>
      <c r="O106" s="31">
        <f>24730</f>
        <v>24730</v>
      </c>
      <c r="P106" s="32" t="s">
        <v>682</v>
      </c>
      <c r="Q106" s="31">
        <f>25720</f>
        <v>25720</v>
      </c>
      <c r="R106" s="32" t="s">
        <v>1114</v>
      </c>
      <c r="S106" s="33">
        <f>25278.25</f>
        <v>25278.25</v>
      </c>
      <c r="T106" s="30">
        <f>96754</f>
        <v>96754</v>
      </c>
      <c r="U106" s="30">
        <f>58646</f>
        <v>58646</v>
      </c>
      <c r="V106" s="30">
        <f>2445866378</f>
        <v>2445866378</v>
      </c>
      <c r="W106" s="30">
        <f>1479814153</f>
        <v>1479814153</v>
      </c>
      <c r="X106" s="34">
        <f>20</f>
        <v>20</v>
      </c>
    </row>
    <row r="107" spans="1:24">
      <c r="A107" s="25" t="s">
        <v>1172</v>
      </c>
      <c r="B107" s="25" t="s">
        <v>295</v>
      </c>
      <c r="C107" s="25" t="s">
        <v>296</v>
      </c>
      <c r="D107" s="25" t="s">
        <v>297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2354</f>
        <v>2354</v>
      </c>
      <c r="L107" s="32" t="s">
        <v>1145</v>
      </c>
      <c r="M107" s="31">
        <f>2390</f>
        <v>2390</v>
      </c>
      <c r="N107" s="32" t="s">
        <v>1114</v>
      </c>
      <c r="O107" s="31">
        <f>2285</f>
        <v>2285</v>
      </c>
      <c r="P107" s="32" t="s">
        <v>682</v>
      </c>
      <c r="Q107" s="31">
        <f>2385</f>
        <v>2385</v>
      </c>
      <c r="R107" s="32" t="s">
        <v>1114</v>
      </c>
      <c r="S107" s="33">
        <f>2337.3</f>
        <v>2337.3000000000002</v>
      </c>
      <c r="T107" s="30">
        <f>372317</f>
        <v>372317</v>
      </c>
      <c r="U107" s="30" t="str">
        <f>"－"</f>
        <v>－</v>
      </c>
      <c r="V107" s="30">
        <f>873894993</f>
        <v>873894993</v>
      </c>
      <c r="W107" s="30" t="str">
        <f>"－"</f>
        <v>－</v>
      </c>
      <c r="X107" s="34">
        <f>20</f>
        <v>20</v>
      </c>
    </row>
    <row r="108" spans="1:24">
      <c r="A108" s="25" t="s">
        <v>1172</v>
      </c>
      <c r="B108" s="25" t="s">
        <v>298</v>
      </c>
      <c r="C108" s="25" t="s">
        <v>299</v>
      </c>
      <c r="D108" s="25" t="s">
        <v>300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</v>
      </c>
      <c r="K108" s="31">
        <f>26300</f>
        <v>26300</v>
      </c>
      <c r="L108" s="32" t="s">
        <v>1145</v>
      </c>
      <c r="M108" s="31">
        <f>26730</f>
        <v>26730</v>
      </c>
      <c r="N108" s="32" t="s">
        <v>1114</v>
      </c>
      <c r="O108" s="31">
        <f>25550</f>
        <v>25550</v>
      </c>
      <c r="P108" s="32" t="s">
        <v>682</v>
      </c>
      <c r="Q108" s="31">
        <f>26730</f>
        <v>26730</v>
      </c>
      <c r="R108" s="32" t="s">
        <v>1114</v>
      </c>
      <c r="S108" s="33">
        <f>26130.75</f>
        <v>26130.75</v>
      </c>
      <c r="T108" s="30">
        <f>18213</f>
        <v>18213</v>
      </c>
      <c r="U108" s="30">
        <f>2770</f>
        <v>2770</v>
      </c>
      <c r="V108" s="30">
        <f>478957887</f>
        <v>478957887</v>
      </c>
      <c r="W108" s="30">
        <f>73508382</f>
        <v>73508382</v>
      </c>
      <c r="X108" s="34">
        <f>20</f>
        <v>20</v>
      </c>
    </row>
    <row r="109" spans="1:24">
      <c r="A109" s="25" t="s">
        <v>1172</v>
      </c>
      <c r="B109" s="25" t="s">
        <v>301</v>
      </c>
      <c r="C109" s="25" t="s">
        <v>302</v>
      </c>
      <c r="D109" s="25" t="s">
        <v>303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1778.5</f>
        <v>1778.5</v>
      </c>
      <c r="L109" s="32" t="s">
        <v>1145</v>
      </c>
      <c r="M109" s="31">
        <f>1800</f>
        <v>1800</v>
      </c>
      <c r="N109" s="32" t="s">
        <v>1114</v>
      </c>
      <c r="O109" s="31">
        <f>1748</f>
        <v>1748</v>
      </c>
      <c r="P109" s="32" t="s">
        <v>682</v>
      </c>
      <c r="Q109" s="31">
        <f>1800</f>
        <v>1800</v>
      </c>
      <c r="R109" s="32" t="s">
        <v>1114</v>
      </c>
      <c r="S109" s="33">
        <f>1771.83</f>
        <v>1771.83</v>
      </c>
      <c r="T109" s="30">
        <f>3284400</f>
        <v>3284400</v>
      </c>
      <c r="U109" s="30">
        <f>2526880</f>
        <v>2526880</v>
      </c>
      <c r="V109" s="30">
        <f>5834119831</f>
        <v>5834119831</v>
      </c>
      <c r="W109" s="30">
        <f>4493544466</f>
        <v>4493544466</v>
      </c>
      <c r="X109" s="34">
        <f>20</f>
        <v>20</v>
      </c>
    </row>
    <row r="110" spans="1:24">
      <c r="A110" s="25" t="s">
        <v>1172</v>
      </c>
      <c r="B110" s="25" t="s">
        <v>304</v>
      </c>
      <c r="C110" s="25" t="s">
        <v>305</v>
      </c>
      <c r="D110" s="25" t="s">
        <v>306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2369</f>
        <v>2369</v>
      </c>
      <c r="L110" s="32" t="s">
        <v>1145</v>
      </c>
      <c r="M110" s="31">
        <f>2369</f>
        <v>2369</v>
      </c>
      <c r="N110" s="32" t="s">
        <v>1145</v>
      </c>
      <c r="O110" s="31">
        <f>2269</f>
        <v>2269</v>
      </c>
      <c r="P110" s="32" t="s">
        <v>1145</v>
      </c>
      <c r="Q110" s="31">
        <f>2338</f>
        <v>2338</v>
      </c>
      <c r="R110" s="32" t="s">
        <v>1123</v>
      </c>
      <c r="S110" s="33">
        <f>2307.83</f>
        <v>2307.83</v>
      </c>
      <c r="T110" s="30">
        <f>110</f>
        <v>110</v>
      </c>
      <c r="U110" s="30" t="str">
        <f>"－"</f>
        <v>－</v>
      </c>
      <c r="V110" s="30">
        <f>256585</f>
        <v>256585</v>
      </c>
      <c r="W110" s="30" t="str">
        <f>"－"</f>
        <v>－</v>
      </c>
      <c r="X110" s="34">
        <f>3</f>
        <v>3</v>
      </c>
    </row>
    <row r="111" spans="1:24">
      <c r="A111" s="25" t="s">
        <v>1172</v>
      </c>
      <c r="B111" s="25" t="s">
        <v>307</v>
      </c>
      <c r="C111" s="25" t="s">
        <v>308</v>
      </c>
      <c r="D111" s="25" t="s">
        <v>309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1805</f>
        <v>1805</v>
      </c>
      <c r="L111" s="32" t="s">
        <v>1145</v>
      </c>
      <c r="M111" s="31">
        <f>1805</f>
        <v>1805</v>
      </c>
      <c r="N111" s="32" t="s">
        <v>1145</v>
      </c>
      <c r="O111" s="31">
        <f>1750.5</f>
        <v>1750.5</v>
      </c>
      <c r="P111" s="32" t="s">
        <v>682</v>
      </c>
      <c r="Q111" s="31">
        <f>1774</f>
        <v>1774</v>
      </c>
      <c r="R111" s="32" t="s">
        <v>1114</v>
      </c>
      <c r="S111" s="33">
        <f>1775.1</f>
        <v>1775.1</v>
      </c>
      <c r="T111" s="30">
        <f>1561230</f>
        <v>1561230</v>
      </c>
      <c r="U111" s="30">
        <f>766290</f>
        <v>766290</v>
      </c>
      <c r="V111" s="30">
        <f>2765451630</f>
        <v>2765451630</v>
      </c>
      <c r="W111" s="30">
        <f>1356491750</f>
        <v>1356491750</v>
      </c>
      <c r="X111" s="34">
        <f>20</f>
        <v>20</v>
      </c>
    </row>
    <row r="112" spans="1:24">
      <c r="A112" s="25" t="s">
        <v>1172</v>
      </c>
      <c r="B112" s="25" t="s">
        <v>310</v>
      </c>
      <c r="C112" s="25" t="s">
        <v>924</v>
      </c>
      <c r="D112" s="25" t="s">
        <v>925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</v>
      </c>
      <c r="K112" s="31">
        <f>25980</f>
        <v>25980</v>
      </c>
      <c r="L112" s="32" t="s">
        <v>1145</v>
      </c>
      <c r="M112" s="31">
        <f>26485</f>
        <v>26485</v>
      </c>
      <c r="N112" s="32" t="s">
        <v>1145</v>
      </c>
      <c r="O112" s="31">
        <f>25240</f>
        <v>25240</v>
      </c>
      <c r="P112" s="32" t="s">
        <v>682</v>
      </c>
      <c r="Q112" s="31">
        <f>26240</f>
        <v>26240</v>
      </c>
      <c r="R112" s="32" t="s">
        <v>1114</v>
      </c>
      <c r="S112" s="33">
        <f>25952.25</f>
        <v>25952.25</v>
      </c>
      <c r="T112" s="30">
        <f>13648</f>
        <v>13648</v>
      </c>
      <c r="U112" s="30">
        <f>1980</f>
        <v>1980</v>
      </c>
      <c r="V112" s="30">
        <f>349141376</f>
        <v>349141376</v>
      </c>
      <c r="W112" s="30">
        <f>49781556</f>
        <v>49781556</v>
      </c>
      <c r="X112" s="34">
        <f>20</f>
        <v>20</v>
      </c>
    </row>
    <row r="113" spans="1:24">
      <c r="A113" s="25" t="s">
        <v>1172</v>
      </c>
      <c r="B113" s="25" t="s">
        <v>1143</v>
      </c>
      <c r="C113" s="25" t="s">
        <v>1142</v>
      </c>
      <c r="D113" s="25" t="s">
        <v>1141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</v>
      </c>
      <c r="K113" s="31">
        <f>522.2</f>
        <v>522.20000000000005</v>
      </c>
      <c r="L113" s="32" t="s">
        <v>1145</v>
      </c>
      <c r="M113" s="31">
        <f>537.9</f>
        <v>537.9</v>
      </c>
      <c r="N113" s="32" t="s">
        <v>1114</v>
      </c>
      <c r="O113" s="31">
        <f>512.7</f>
        <v>512.70000000000005</v>
      </c>
      <c r="P113" s="32" t="s">
        <v>682</v>
      </c>
      <c r="Q113" s="31">
        <f>532.3</f>
        <v>532.29999999999995</v>
      </c>
      <c r="R113" s="32" t="s">
        <v>1114</v>
      </c>
      <c r="S113" s="33">
        <f>524.2</f>
        <v>524.20000000000005</v>
      </c>
      <c r="T113" s="30">
        <f>411130</f>
        <v>411130</v>
      </c>
      <c r="U113" s="30" t="str">
        <f>"－"</f>
        <v>－</v>
      </c>
      <c r="V113" s="30">
        <f>216254276</f>
        <v>216254276</v>
      </c>
      <c r="W113" s="30" t="str">
        <f>"－"</f>
        <v>－</v>
      </c>
      <c r="X113" s="34">
        <f>20</f>
        <v>20</v>
      </c>
    </row>
    <row r="114" spans="1:24">
      <c r="A114" s="25" t="s">
        <v>1172</v>
      </c>
      <c r="B114" s="25" t="s">
        <v>311</v>
      </c>
      <c r="C114" s="25" t="s">
        <v>312</v>
      </c>
      <c r="D114" s="25" t="s">
        <v>313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100</v>
      </c>
      <c r="K114" s="31">
        <f>365.3</f>
        <v>365.3</v>
      </c>
      <c r="L114" s="32" t="s">
        <v>1145</v>
      </c>
      <c r="M114" s="31">
        <f>370.7</f>
        <v>370.7</v>
      </c>
      <c r="N114" s="32" t="s">
        <v>1114</v>
      </c>
      <c r="O114" s="31">
        <f>338.4</f>
        <v>338.4</v>
      </c>
      <c r="P114" s="32" t="s">
        <v>682</v>
      </c>
      <c r="Q114" s="31">
        <f>368.9</f>
        <v>368.9</v>
      </c>
      <c r="R114" s="32" t="s">
        <v>1114</v>
      </c>
      <c r="S114" s="33">
        <f>351.98</f>
        <v>351.98</v>
      </c>
      <c r="T114" s="30">
        <f>111173300</f>
        <v>111173300</v>
      </c>
      <c r="U114" s="30">
        <f>12041900</f>
        <v>12041900</v>
      </c>
      <c r="V114" s="30">
        <f>39291406734</f>
        <v>39291406734</v>
      </c>
      <c r="W114" s="30">
        <f>4279242464</f>
        <v>4279242464</v>
      </c>
      <c r="X114" s="34">
        <f>20</f>
        <v>20</v>
      </c>
    </row>
    <row r="115" spans="1:24">
      <c r="A115" s="25" t="s">
        <v>1172</v>
      </c>
      <c r="B115" s="25" t="s">
        <v>314</v>
      </c>
      <c r="C115" s="25" t="s">
        <v>315</v>
      </c>
      <c r="D115" s="25" t="s">
        <v>316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38470</f>
        <v>38470</v>
      </c>
      <c r="L115" s="32" t="s">
        <v>1145</v>
      </c>
      <c r="M115" s="31">
        <f>39500</f>
        <v>39500</v>
      </c>
      <c r="N115" s="32" t="s">
        <v>1124</v>
      </c>
      <c r="O115" s="31">
        <f>37560</f>
        <v>37560</v>
      </c>
      <c r="P115" s="32" t="s">
        <v>1118</v>
      </c>
      <c r="Q115" s="31">
        <f>38370</f>
        <v>38370</v>
      </c>
      <c r="R115" s="32" t="s">
        <v>1114</v>
      </c>
      <c r="S115" s="33">
        <f>38485.5</f>
        <v>38485.5</v>
      </c>
      <c r="T115" s="30">
        <f>2487</f>
        <v>2487</v>
      </c>
      <c r="U115" s="30">
        <f>18</f>
        <v>18</v>
      </c>
      <c r="V115" s="30">
        <f>95644625</f>
        <v>95644625</v>
      </c>
      <c r="W115" s="30">
        <f>692075</f>
        <v>692075</v>
      </c>
      <c r="X115" s="34">
        <f>20</f>
        <v>20</v>
      </c>
    </row>
    <row r="116" spans="1:24">
      <c r="A116" s="25" t="s">
        <v>1172</v>
      </c>
      <c r="B116" s="25" t="s">
        <v>317</v>
      </c>
      <c r="C116" s="25" t="s">
        <v>318</v>
      </c>
      <c r="D116" s="25" t="s">
        <v>319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23720</f>
        <v>23720</v>
      </c>
      <c r="L116" s="32" t="s">
        <v>1145</v>
      </c>
      <c r="M116" s="31">
        <f>24100</f>
        <v>24100</v>
      </c>
      <c r="N116" s="32" t="s">
        <v>1145</v>
      </c>
      <c r="O116" s="31">
        <f>22670</f>
        <v>22670</v>
      </c>
      <c r="P116" s="32" t="s">
        <v>674</v>
      </c>
      <c r="Q116" s="31">
        <f>23650</f>
        <v>23650</v>
      </c>
      <c r="R116" s="32" t="s">
        <v>1114</v>
      </c>
      <c r="S116" s="33">
        <f>23233.25</f>
        <v>23233.25</v>
      </c>
      <c r="T116" s="30">
        <f>14143</f>
        <v>14143</v>
      </c>
      <c r="U116" s="30">
        <f>13</f>
        <v>13</v>
      </c>
      <c r="V116" s="30">
        <f>329721235</f>
        <v>329721235</v>
      </c>
      <c r="W116" s="30">
        <f>303105</f>
        <v>303105</v>
      </c>
      <c r="X116" s="34">
        <f>20</f>
        <v>20</v>
      </c>
    </row>
    <row r="117" spans="1:24">
      <c r="A117" s="25" t="s">
        <v>1172</v>
      </c>
      <c r="B117" s="25" t="s">
        <v>320</v>
      </c>
      <c r="C117" s="25" t="s">
        <v>321</v>
      </c>
      <c r="D117" s="25" t="s">
        <v>322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30960</f>
        <v>30960</v>
      </c>
      <c r="L117" s="32" t="s">
        <v>1145</v>
      </c>
      <c r="M117" s="31">
        <f>31190</f>
        <v>31190</v>
      </c>
      <c r="N117" s="32" t="s">
        <v>1145</v>
      </c>
      <c r="O117" s="31">
        <f>29870</f>
        <v>29870</v>
      </c>
      <c r="P117" s="32" t="s">
        <v>1117</v>
      </c>
      <c r="Q117" s="31">
        <f>30680</f>
        <v>30680</v>
      </c>
      <c r="R117" s="32" t="s">
        <v>1114</v>
      </c>
      <c r="S117" s="33">
        <f>30424.25</f>
        <v>30424.25</v>
      </c>
      <c r="T117" s="30">
        <f>2996</f>
        <v>2996</v>
      </c>
      <c r="U117" s="30">
        <f>2</f>
        <v>2</v>
      </c>
      <c r="V117" s="30">
        <f>91469555</f>
        <v>91469555</v>
      </c>
      <c r="W117" s="30">
        <f>60960</f>
        <v>60960</v>
      </c>
      <c r="X117" s="34">
        <f>20</f>
        <v>20</v>
      </c>
    </row>
    <row r="118" spans="1:24">
      <c r="A118" s="25" t="s">
        <v>1172</v>
      </c>
      <c r="B118" s="25" t="s">
        <v>323</v>
      </c>
      <c r="C118" s="25" t="s">
        <v>324</v>
      </c>
      <c r="D118" s="25" t="s">
        <v>325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31410</f>
        <v>31410</v>
      </c>
      <c r="L118" s="32" t="s">
        <v>1145</v>
      </c>
      <c r="M118" s="31">
        <f>32210</f>
        <v>32210</v>
      </c>
      <c r="N118" s="32" t="s">
        <v>1114</v>
      </c>
      <c r="O118" s="31">
        <f>30530</f>
        <v>30530</v>
      </c>
      <c r="P118" s="32" t="s">
        <v>1111</v>
      </c>
      <c r="Q118" s="31">
        <f>31870</f>
        <v>31870</v>
      </c>
      <c r="R118" s="32" t="s">
        <v>1114</v>
      </c>
      <c r="S118" s="33">
        <f>31583</f>
        <v>31583</v>
      </c>
      <c r="T118" s="30">
        <f>3882</f>
        <v>3882</v>
      </c>
      <c r="U118" s="30" t="str">
        <f>"－"</f>
        <v>－</v>
      </c>
      <c r="V118" s="30">
        <f>122341490</f>
        <v>122341490</v>
      </c>
      <c r="W118" s="30" t="str">
        <f>"－"</f>
        <v>－</v>
      </c>
      <c r="X118" s="34">
        <f>20</f>
        <v>20</v>
      </c>
    </row>
    <row r="119" spans="1:24">
      <c r="A119" s="25" t="s">
        <v>1172</v>
      </c>
      <c r="B119" s="25" t="s">
        <v>326</v>
      </c>
      <c r="C119" s="25" t="s">
        <v>327</v>
      </c>
      <c r="D119" s="25" t="s">
        <v>328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28355</f>
        <v>28355</v>
      </c>
      <c r="L119" s="32" t="s">
        <v>1145</v>
      </c>
      <c r="M119" s="31">
        <f>29230</f>
        <v>29230</v>
      </c>
      <c r="N119" s="32" t="s">
        <v>676</v>
      </c>
      <c r="O119" s="31">
        <f>27380</f>
        <v>27380</v>
      </c>
      <c r="P119" s="32" t="s">
        <v>680</v>
      </c>
      <c r="Q119" s="31">
        <f>29010</f>
        <v>29010</v>
      </c>
      <c r="R119" s="32" t="s">
        <v>1114</v>
      </c>
      <c r="S119" s="33">
        <f>28324</f>
        <v>28324</v>
      </c>
      <c r="T119" s="30">
        <f>4653</f>
        <v>4653</v>
      </c>
      <c r="U119" s="30">
        <f>17</f>
        <v>17</v>
      </c>
      <c r="V119" s="30">
        <f>131583617</f>
        <v>131583617</v>
      </c>
      <c r="W119" s="30">
        <f>478842</f>
        <v>478842</v>
      </c>
      <c r="X119" s="34">
        <f>20</f>
        <v>20</v>
      </c>
    </row>
    <row r="120" spans="1:24">
      <c r="A120" s="25" t="s">
        <v>1172</v>
      </c>
      <c r="B120" s="25" t="s">
        <v>329</v>
      </c>
      <c r="C120" s="25" t="s">
        <v>330</v>
      </c>
      <c r="D120" s="25" t="s">
        <v>331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36250</f>
        <v>36250</v>
      </c>
      <c r="L120" s="32" t="s">
        <v>1145</v>
      </c>
      <c r="M120" s="31">
        <f>36590</f>
        <v>36590</v>
      </c>
      <c r="N120" s="32" t="s">
        <v>1145</v>
      </c>
      <c r="O120" s="31">
        <f>32820</f>
        <v>32820</v>
      </c>
      <c r="P120" s="32" t="s">
        <v>682</v>
      </c>
      <c r="Q120" s="31">
        <f>34980</f>
        <v>34980</v>
      </c>
      <c r="R120" s="32" t="s">
        <v>1114</v>
      </c>
      <c r="S120" s="33">
        <f>34483.5</f>
        <v>34483.5</v>
      </c>
      <c r="T120" s="30">
        <f>15191</f>
        <v>15191</v>
      </c>
      <c r="U120" s="30">
        <f>73</f>
        <v>73</v>
      </c>
      <c r="V120" s="30">
        <f>523982170</f>
        <v>523982170</v>
      </c>
      <c r="W120" s="30">
        <f>2530110</f>
        <v>2530110</v>
      </c>
      <c r="X120" s="34">
        <f>20</f>
        <v>20</v>
      </c>
    </row>
    <row r="121" spans="1:24">
      <c r="A121" s="25" t="s">
        <v>1172</v>
      </c>
      <c r="B121" s="25" t="s">
        <v>332</v>
      </c>
      <c r="C121" s="25" t="s">
        <v>333</v>
      </c>
      <c r="D121" s="25" t="s">
        <v>334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28380</f>
        <v>28380</v>
      </c>
      <c r="L121" s="32" t="s">
        <v>1145</v>
      </c>
      <c r="M121" s="31">
        <f>28380</f>
        <v>28380</v>
      </c>
      <c r="N121" s="32" t="s">
        <v>1145</v>
      </c>
      <c r="O121" s="31">
        <f>27045</f>
        <v>27045</v>
      </c>
      <c r="P121" s="32" t="s">
        <v>1118</v>
      </c>
      <c r="Q121" s="31">
        <f>27530</f>
        <v>27530</v>
      </c>
      <c r="R121" s="32" t="s">
        <v>1114</v>
      </c>
      <c r="S121" s="33">
        <f>27569.25</f>
        <v>27569.25</v>
      </c>
      <c r="T121" s="30">
        <f>3801</f>
        <v>3801</v>
      </c>
      <c r="U121" s="30" t="str">
        <f>"－"</f>
        <v>－</v>
      </c>
      <c r="V121" s="30">
        <f>104595035</f>
        <v>104595035</v>
      </c>
      <c r="W121" s="30" t="str">
        <f>"－"</f>
        <v>－</v>
      </c>
      <c r="X121" s="34">
        <f>20</f>
        <v>20</v>
      </c>
    </row>
    <row r="122" spans="1:24">
      <c r="A122" s="25" t="s">
        <v>1172</v>
      </c>
      <c r="B122" s="25" t="s">
        <v>335</v>
      </c>
      <c r="C122" s="25" t="s">
        <v>336</v>
      </c>
      <c r="D122" s="25" t="s">
        <v>337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59710</f>
        <v>59710</v>
      </c>
      <c r="L122" s="32" t="s">
        <v>1145</v>
      </c>
      <c r="M122" s="31">
        <f>61740</f>
        <v>61740</v>
      </c>
      <c r="N122" s="32" t="s">
        <v>1114</v>
      </c>
      <c r="O122" s="31">
        <f>58420</f>
        <v>58420</v>
      </c>
      <c r="P122" s="32" t="s">
        <v>1115</v>
      </c>
      <c r="Q122" s="31">
        <f>61410</f>
        <v>61410</v>
      </c>
      <c r="R122" s="32" t="s">
        <v>1114</v>
      </c>
      <c r="S122" s="33">
        <f>60146.5</f>
        <v>60146.5</v>
      </c>
      <c r="T122" s="30">
        <f>3793</f>
        <v>3793</v>
      </c>
      <c r="U122" s="30">
        <f>2032</f>
        <v>2032</v>
      </c>
      <c r="V122" s="30">
        <f>229230710</f>
        <v>229230710</v>
      </c>
      <c r="W122" s="30">
        <f>123186590</f>
        <v>123186590</v>
      </c>
      <c r="X122" s="34">
        <f>20</f>
        <v>20</v>
      </c>
    </row>
    <row r="123" spans="1:24">
      <c r="A123" s="25" t="s">
        <v>1172</v>
      </c>
      <c r="B123" s="25" t="s">
        <v>338</v>
      </c>
      <c r="C123" s="25" t="s">
        <v>339</v>
      </c>
      <c r="D123" s="25" t="s">
        <v>340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38500</f>
        <v>38500</v>
      </c>
      <c r="L123" s="32" t="s">
        <v>1145</v>
      </c>
      <c r="M123" s="31">
        <f>39890</f>
        <v>39890</v>
      </c>
      <c r="N123" s="32" t="s">
        <v>1114</v>
      </c>
      <c r="O123" s="31">
        <f>38020</f>
        <v>38020</v>
      </c>
      <c r="P123" s="32" t="s">
        <v>682</v>
      </c>
      <c r="Q123" s="31">
        <f>39610</f>
        <v>39610</v>
      </c>
      <c r="R123" s="32" t="s">
        <v>1114</v>
      </c>
      <c r="S123" s="33">
        <f>38831</f>
        <v>38831</v>
      </c>
      <c r="T123" s="30">
        <f>8512</f>
        <v>8512</v>
      </c>
      <c r="U123" s="30">
        <f>2036</f>
        <v>2036</v>
      </c>
      <c r="V123" s="30">
        <f>331966655</f>
        <v>331966655</v>
      </c>
      <c r="W123" s="30">
        <f>80847855</f>
        <v>80847855</v>
      </c>
      <c r="X123" s="34">
        <f>20</f>
        <v>20</v>
      </c>
    </row>
    <row r="124" spans="1:24">
      <c r="A124" s="25" t="s">
        <v>1172</v>
      </c>
      <c r="B124" s="25" t="s">
        <v>341</v>
      </c>
      <c r="C124" s="25" t="s">
        <v>342</v>
      </c>
      <c r="D124" s="25" t="s">
        <v>343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34060</f>
        <v>34060</v>
      </c>
      <c r="L124" s="32" t="s">
        <v>1145</v>
      </c>
      <c r="M124" s="31">
        <f>35620</f>
        <v>35620</v>
      </c>
      <c r="N124" s="32" t="s">
        <v>1111</v>
      </c>
      <c r="O124" s="31">
        <f>33780</f>
        <v>33780</v>
      </c>
      <c r="P124" s="32" t="s">
        <v>682</v>
      </c>
      <c r="Q124" s="31">
        <f>35330</f>
        <v>35330</v>
      </c>
      <c r="R124" s="32" t="s">
        <v>1114</v>
      </c>
      <c r="S124" s="33">
        <f>34480</f>
        <v>34480</v>
      </c>
      <c r="T124" s="30">
        <f>2280</f>
        <v>2280</v>
      </c>
      <c r="U124" s="30">
        <f>40</f>
        <v>40</v>
      </c>
      <c r="V124" s="30">
        <f>78676045</f>
        <v>78676045</v>
      </c>
      <c r="W124" s="30">
        <f>1384715</f>
        <v>1384715</v>
      </c>
      <c r="X124" s="34">
        <f>20</f>
        <v>20</v>
      </c>
    </row>
    <row r="125" spans="1:24">
      <c r="A125" s="25" t="s">
        <v>1172</v>
      </c>
      <c r="B125" s="25" t="s">
        <v>344</v>
      </c>
      <c r="C125" s="25" t="s">
        <v>345</v>
      </c>
      <c r="D125" s="25" t="s">
        <v>346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10735</f>
        <v>10735</v>
      </c>
      <c r="L125" s="32" t="s">
        <v>1145</v>
      </c>
      <c r="M125" s="31">
        <f>10785</f>
        <v>10785</v>
      </c>
      <c r="N125" s="32" t="s">
        <v>1145</v>
      </c>
      <c r="O125" s="31">
        <f>9777</f>
        <v>9777</v>
      </c>
      <c r="P125" s="32" t="s">
        <v>683</v>
      </c>
      <c r="Q125" s="31">
        <f>9982</f>
        <v>9982</v>
      </c>
      <c r="R125" s="32" t="s">
        <v>1114</v>
      </c>
      <c r="S125" s="33">
        <f>10155.05</f>
        <v>10155.049999999999</v>
      </c>
      <c r="T125" s="30">
        <f>76967</f>
        <v>76967</v>
      </c>
      <c r="U125" s="30">
        <f>168</f>
        <v>168</v>
      </c>
      <c r="V125" s="30">
        <f>780688228</f>
        <v>780688228</v>
      </c>
      <c r="W125" s="30">
        <f>1759575</f>
        <v>1759575</v>
      </c>
      <c r="X125" s="34">
        <f>20</f>
        <v>20</v>
      </c>
    </row>
    <row r="126" spans="1:24">
      <c r="A126" s="25" t="s">
        <v>1172</v>
      </c>
      <c r="B126" s="25" t="s">
        <v>347</v>
      </c>
      <c r="C126" s="25" t="s">
        <v>348</v>
      </c>
      <c r="D126" s="25" t="s">
        <v>349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18540</f>
        <v>18540</v>
      </c>
      <c r="L126" s="32" t="s">
        <v>1145</v>
      </c>
      <c r="M126" s="31">
        <f>18655</f>
        <v>18655</v>
      </c>
      <c r="N126" s="32" t="s">
        <v>1145</v>
      </c>
      <c r="O126" s="31">
        <f>17520</f>
        <v>17520</v>
      </c>
      <c r="P126" s="32" t="s">
        <v>1118</v>
      </c>
      <c r="Q126" s="31">
        <f>18100</f>
        <v>18100</v>
      </c>
      <c r="R126" s="32" t="s">
        <v>1114</v>
      </c>
      <c r="S126" s="33">
        <f>18056.5</f>
        <v>18056.5</v>
      </c>
      <c r="T126" s="30">
        <f>8565</f>
        <v>8565</v>
      </c>
      <c r="U126" s="30">
        <f>133</f>
        <v>133</v>
      </c>
      <c r="V126" s="30">
        <f>154586887</f>
        <v>154586887</v>
      </c>
      <c r="W126" s="30">
        <f>2393887</f>
        <v>2393887</v>
      </c>
      <c r="X126" s="34">
        <f>20</f>
        <v>20</v>
      </c>
    </row>
    <row r="127" spans="1:24">
      <c r="A127" s="25" t="s">
        <v>1172</v>
      </c>
      <c r="B127" s="25" t="s">
        <v>350</v>
      </c>
      <c r="C127" s="25" t="s">
        <v>351</v>
      </c>
      <c r="D127" s="25" t="s">
        <v>352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94340</f>
        <v>94340</v>
      </c>
      <c r="L127" s="32" t="s">
        <v>1145</v>
      </c>
      <c r="M127" s="31">
        <f>95020</f>
        <v>95020</v>
      </c>
      <c r="N127" s="32" t="s">
        <v>1145</v>
      </c>
      <c r="O127" s="31">
        <f>88410</f>
        <v>88410</v>
      </c>
      <c r="P127" s="32" t="s">
        <v>1118</v>
      </c>
      <c r="Q127" s="31">
        <f>91660</f>
        <v>91660</v>
      </c>
      <c r="R127" s="32" t="s">
        <v>1114</v>
      </c>
      <c r="S127" s="33">
        <f>91204.5</f>
        <v>91204.5</v>
      </c>
      <c r="T127" s="30">
        <f>23472</f>
        <v>23472</v>
      </c>
      <c r="U127" s="30">
        <f>167</f>
        <v>167</v>
      </c>
      <c r="V127" s="30">
        <f>2135792500</f>
        <v>2135792500</v>
      </c>
      <c r="W127" s="30">
        <f>15183040</f>
        <v>15183040</v>
      </c>
      <c r="X127" s="34">
        <f>20</f>
        <v>20</v>
      </c>
    </row>
    <row r="128" spans="1:24">
      <c r="A128" s="25" t="s">
        <v>1172</v>
      </c>
      <c r="B128" s="25" t="s">
        <v>1139</v>
      </c>
      <c r="C128" s="25" t="s">
        <v>1138</v>
      </c>
      <c r="D128" s="25" t="s">
        <v>1137</v>
      </c>
      <c r="E128" s="26" t="s">
        <v>43</v>
      </c>
      <c r="F128" s="27" t="s">
        <v>43</v>
      </c>
      <c r="G128" s="28" t="s">
        <v>43</v>
      </c>
      <c r="H128" s="29"/>
      <c r="I128" s="29" t="s">
        <v>465</v>
      </c>
      <c r="J128" s="30">
        <v>1</v>
      </c>
      <c r="K128" s="31">
        <f>10210</f>
        <v>10210</v>
      </c>
      <c r="L128" s="32" t="s">
        <v>1145</v>
      </c>
      <c r="M128" s="31">
        <f>10410</f>
        <v>10410</v>
      </c>
      <c r="N128" s="32" t="s">
        <v>1114</v>
      </c>
      <c r="O128" s="31">
        <f>9937</f>
        <v>9937</v>
      </c>
      <c r="P128" s="32" t="s">
        <v>1117</v>
      </c>
      <c r="Q128" s="31">
        <f>10385</f>
        <v>10385</v>
      </c>
      <c r="R128" s="32" t="s">
        <v>1114</v>
      </c>
      <c r="S128" s="33">
        <f>10088.6</f>
        <v>10088.6</v>
      </c>
      <c r="T128" s="30">
        <f>8195</f>
        <v>8195</v>
      </c>
      <c r="U128" s="30" t="str">
        <f>"－"</f>
        <v>－</v>
      </c>
      <c r="V128" s="30">
        <f>83538213</f>
        <v>83538213</v>
      </c>
      <c r="W128" s="30" t="str">
        <f>"－"</f>
        <v>－</v>
      </c>
      <c r="X128" s="34">
        <f>20</f>
        <v>20</v>
      </c>
    </row>
    <row r="129" spans="1:24">
      <c r="A129" s="25" t="s">
        <v>1172</v>
      </c>
      <c r="B129" s="25" t="s">
        <v>353</v>
      </c>
      <c r="C129" s="25" t="s">
        <v>354</v>
      </c>
      <c r="D129" s="25" t="s">
        <v>355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28865</f>
        <v>28865</v>
      </c>
      <c r="L129" s="32" t="s">
        <v>1145</v>
      </c>
      <c r="M129" s="31">
        <f>30000</f>
        <v>30000</v>
      </c>
      <c r="N129" s="32" t="s">
        <v>674</v>
      </c>
      <c r="O129" s="31">
        <f>28090</f>
        <v>28090</v>
      </c>
      <c r="P129" s="32" t="s">
        <v>1118</v>
      </c>
      <c r="Q129" s="31">
        <f>28650</f>
        <v>28650</v>
      </c>
      <c r="R129" s="32" t="s">
        <v>1114</v>
      </c>
      <c r="S129" s="33">
        <f>28699</f>
        <v>28699</v>
      </c>
      <c r="T129" s="30">
        <f>18425</f>
        <v>18425</v>
      </c>
      <c r="U129" s="30">
        <f>12004</f>
        <v>12004</v>
      </c>
      <c r="V129" s="30">
        <f>528552174</f>
        <v>528552174</v>
      </c>
      <c r="W129" s="30">
        <f>343884679</f>
        <v>343884679</v>
      </c>
      <c r="X129" s="34">
        <f>20</f>
        <v>20</v>
      </c>
    </row>
    <row r="130" spans="1:24">
      <c r="A130" s="25" t="s">
        <v>1172</v>
      </c>
      <c r="B130" s="25" t="s">
        <v>356</v>
      </c>
      <c r="C130" s="25" t="s">
        <v>357</v>
      </c>
      <c r="D130" s="25" t="s">
        <v>358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19195</f>
        <v>19195</v>
      </c>
      <c r="L130" s="32" t="s">
        <v>1145</v>
      </c>
      <c r="M130" s="31">
        <f>19550</f>
        <v>19550</v>
      </c>
      <c r="N130" s="32" t="s">
        <v>1114</v>
      </c>
      <c r="O130" s="31">
        <f>17820</f>
        <v>17820</v>
      </c>
      <c r="P130" s="32" t="s">
        <v>682</v>
      </c>
      <c r="Q130" s="31">
        <f>19440</f>
        <v>19440</v>
      </c>
      <c r="R130" s="32" t="s">
        <v>1114</v>
      </c>
      <c r="S130" s="33">
        <f>18548.75</f>
        <v>18548.75</v>
      </c>
      <c r="T130" s="30">
        <f>254019</f>
        <v>254019</v>
      </c>
      <c r="U130" s="30">
        <f>174442</f>
        <v>174442</v>
      </c>
      <c r="V130" s="30">
        <f>4735907859</f>
        <v>4735907859</v>
      </c>
      <c r="W130" s="30">
        <f>3251640009</f>
        <v>3251640009</v>
      </c>
      <c r="X130" s="34">
        <f>20</f>
        <v>20</v>
      </c>
    </row>
    <row r="131" spans="1:24">
      <c r="A131" s="25" t="s">
        <v>1172</v>
      </c>
      <c r="B131" s="25" t="s">
        <v>359</v>
      </c>
      <c r="C131" s="25" t="s">
        <v>360</v>
      </c>
      <c r="D131" s="25" t="s">
        <v>361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</v>
      </c>
      <c r="K131" s="31">
        <f>28225</f>
        <v>28225</v>
      </c>
      <c r="L131" s="32" t="s">
        <v>1145</v>
      </c>
      <c r="M131" s="31">
        <f>29260</f>
        <v>29260</v>
      </c>
      <c r="N131" s="32" t="s">
        <v>1114</v>
      </c>
      <c r="O131" s="31">
        <f>26665</f>
        <v>26665</v>
      </c>
      <c r="P131" s="32" t="s">
        <v>682</v>
      </c>
      <c r="Q131" s="31">
        <f>29060</f>
        <v>29060</v>
      </c>
      <c r="R131" s="32" t="s">
        <v>1114</v>
      </c>
      <c r="S131" s="33">
        <f>27814.5</f>
        <v>27814.5</v>
      </c>
      <c r="T131" s="30">
        <f>29719</f>
        <v>29719</v>
      </c>
      <c r="U131" s="30">
        <f>144</f>
        <v>144</v>
      </c>
      <c r="V131" s="30">
        <f>827510241</f>
        <v>827510241</v>
      </c>
      <c r="W131" s="30">
        <f>4075786</f>
        <v>4075786</v>
      </c>
      <c r="X131" s="34">
        <f>20</f>
        <v>20</v>
      </c>
    </row>
    <row r="132" spans="1:24">
      <c r="A132" s="25" t="s">
        <v>1172</v>
      </c>
      <c r="B132" s="25" t="s">
        <v>362</v>
      </c>
      <c r="C132" s="25" t="s">
        <v>363</v>
      </c>
      <c r="D132" s="25" t="s">
        <v>364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40850</f>
        <v>40850</v>
      </c>
      <c r="L132" s="32" t="s">
        <v>1145</v>
      </c>
      <c r="M132" s="31">
        <f>41690</f>
        <v>41690</v>
      </c>
      <c r="N132" s="32" t="s">
        <v>674</v>
      </c>
      <c r="O132" s="31">
        <f>38560</f>
        <v>38560</v>
      </c>
      <c r="P132" s="32" t="s">
        <v>683</v>
      </c>
      <c r="Q132" s="31">
        <f>40070</f>
        <v>40070</v>
      </c>
      <c r="R132" s="32" t="s">
        <v>1114</v>
      </c>
      <c r="S132" s="33">
        <f>39984.5</f>
        <v>39984.5</v>
      </c>
      <c r="T132" s="30">
        <f>8945</f>
        <v>8945</v>
      </c>
      <c r="U132" s="30">
        <f>84</f>
        <v>84</v>
      </c>
      <c r="V132" s="30">
        <f>360369935</f>
        <v>360369935</v>
      </c>
      <c r="W132" s="30">
        <f>3405945</f>
        <v>3405945</v>
      </c>
      <c r="X132" s="34">
        <f>20</f>
        <v>20</v>
      </c>
    </row>
    <row r="133" spans="1:24">
      <c r="A133" s="25" t="s">
        <v>1172</v>
      </c>
      <c r="B133" s="25" t="s">
        <v>1136</v>
      </c>
      <c r="C133" s="25" t="s">
        <v>1135</v>
      </c>
      <c r="D133" s="25" t="s">
        <v>1134</v>
      </c>
      <c r="E133" s="26" t="s">
        <v>43</v>
      </c>
      <c r="F133" s="27" t="s">
        <v>43</v>
      </c>
      <c r="G133" s="28" t="s">
        <v>43</v>
      </c>
      <c r="H133" s="29"/>
      <c r="I133" s="29" t="s">
        <v>465</v>
      </c>
      <c r="J133" s="30">
        <v>1</v>
      </c>
      <c r="K133" s="31">
        <f>10150</f>
        <v>10150</v>
      </c>
      <c r="L133" s="32" t="s">
        <v>1145</v>
      </c>
      <c r="M133" s="31">
        <f>10190</f>
        <v>10190</v>
      </c>
      <c r="N133" s="32" t="s">
        <v>1114</v>
      </c>
      <c r="O133" s="31">
        <f>9647</f>
        <v>9647</v>
      </c>
      <c r="P133" s="32" t="s">
        <v>674</v>
      </c>
      <c r="Q133" s="31">
        <f>10125</f>
        <v>10125</v>
      </c>
      <c r="R133" s="32" t="s">
        <v>1114</v>
      </c>
      <c r="S133" s="33">
        <f>9943</f>
        <v>9943</v>
      </c>
      <c r="T133" s="30">
        <f>117297</f>
        <v>117297</v>
      </c>
      <c r="U133" s="30">
        <f>9</f>
        <v>9</v>
      </c>
      <c r="V133" s="30">
        <f>1170448774</f>
        <v>1170448774</v>
      </c>
      <c r="W133" s="30">
        <f>89231</f>
        <v>89231</v>
      </c>
      <c r="X133" s="34">
        <f>20</f>
        <v>20</v>
      </c>
    </row>
    <row r="134" spans="1:24">
      <c r="A134" s="25" t="s">
        <v>1172</v>
      </c>
      <c r="B134" s="25" t="s">
        <v>365</v>
      </c>
      <c r="C134" s="25" t="s">
        <v>926</v>
      </c>
      <c r="D134" s="25" t="s">
        <v>927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</v>
      </c>
      <c r="K134" s="31">
        <f>2104</f>
        <v>2104</v>
      </c>
      <c r="L134" s="32" t="s">
        <v>1145</v>
      </c>
      <c r="M134" s="31">
        <f>2129</f>
        <v>2129</v>
      </c>
      <c r="N134" s="32" t="s">
        <v>1145</v>
      </c>
      <c r="O134" s="31">
        <f>1989</f>
        <v>1989</v>
      </c>
      <c r="P134" s="32" t="s">
        <v>1118</v>
      </c>
      <c r="Q134" s="31">
        <f>2100</f>
        <v>2100</v>
      </c>
      <c r="R134" s="32" t="s">
        <v>1114</v>
      </c>
      <c r="S134" s="33">
        <f>2054</f>
        <v>2054</v>
      </c>
      <c r="T134" s="30">
        <f>891475</f>
        <v>891475</v>
      </c>
      <c r="U134" s="30">
        <f>495330</f>
        <v>495330</v>
      </c>
      <c r="V134" s="30">
        <f>1812093965</f>
        <v>1812093965</v>
      </c>
      <c r="W134" s="30">
        <f>1004552045</f>
        <v>1004552045</v>
      </c>
      <c r="X134" s="34">
        <f>20</f>
        <v>20</v>
      </c>
    </row>
    <row r="135" spans="1:24">
      <c r="A135" s="25" t="s">
        <v>1172</v>
      </c>
      <c r="B135" s="25" t="s">
        <v>366</v>
      </c>
      <c r="C135" s="25" t="s">
        <v>928</v>
      </c>
      <c r="D135" s="25" t="s">
        <v>929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3294</f>
        <v>3294</v>
      </c>
      <c r="L135" s="32" t="s">
        <v>675</v>
      </c>
      <c r="M135" s="31">
        <f>3359</f>
        <v>3359</v>
      </c>
      <c r="N135" s="32" t="s">
        <v>1114</v>
      </c>
      <c r="O135" s="31">
        <f>3210</f>
        <v>3210</v>
      </c>
      <c r="P135" s="32" t="s">
        <v>678</v>
      </c>
      <c r="Q135" s="31">
        <f>3359</f>
        <v>3359</v>
      </c>
      <c r="R135" s="32" t="s">
        <v>1114</v>
      </c>
      <c r="S135" s="33">
        <f>3275.43</f>
        <v>3275.43</v>
      </c>
      <c r="T135" s="30">
        <f>12650</f>
        <v>12650</v>
      </c>
      <c r="U135" s="30">
        <f>3030</f>
        <v>3030</v>
      </c>
      <c r="V135" s="30">
        <f>41505376</f>
        <v>41505376</v>
      </c>
      <c r="W135" s="30">
        <f>9993546</f>
        <v>9993546</v>
      </c>
      <c r="X135" s="34">
        <f>14</f>
        <v>14</v>
      </c>
    </row>
    <row r="136" spans="1:24">
      <c r="A136" s="25" t="s">
        <v>1172</v>
      </c>
      <c r="B136" s="25" t="s">
        <v>367</v>
      </c>
      <c r="C136" s="25" t="s">
        <v>930</v>
      </c>
      <c r="D136" s="25" t="s">
        <v>931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3580</f>
        <v>3580</v>
      </c>
      <c r="L136" s="32" t="s">
        <v>1145</v>
      </c>
      <c r="M136" s="31">
        <f>3641</f>
        <v>3641</v>
      </c>
      <c r="N136" s="32" t="s">
        <v>1114</v>
      </c>
      <c r="O136" s="31">
        <f>3461</f>
        <v>3461</v>
      </c>
      <c r="P136" s="32" t="s">
        <v>682</v>
      </c>
      <c r="Q136" s="31">
        <f>3635</f>
        <v>3635</v>
      </c>
      <c r="R136" s="32" t="s">
        <v>1114</v>
      </c>
      <c r="S136" s="33">
        <f>3556.4</f>
        <v>3556.4</v>
      </c>
      <c r="T136" s="30">
        <f>54000</f>
        <v>54000</v>
      </c>
      <c r="U136" s="30">
        <f>34000</f>
        <v>34000</v>
      </c>
      <c r="V136" s="30">
        <f>193926870</f>
        <v>193926870</v>
      </c>
      <c r="W136" s="30">
        <f>122344750</f>
        <v>122344750</v>
      </c>
      <c r="X136" s="34">
        <f>15</f>
        <v>15</v>
      </c>
    </row>
    <row r="137" spans="1:24">
      <c r="A137" s="25" t="s">
        <v>1172</v>
      </c>
      <c r="B137" s="25" t="s">
        <v>368</v>
      </c>
      <c r="C137" s="25" t="s">
        <v>932</v>
      </c>
      <c r="D137" s="25" t="s">
        <v>933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2257</f>
        <v>2257</v>
      </c>
      <c r="L137" s="32" t="s">
        <v>1145</v>
      </c>
      <c r="M137" s="31">
        <f>2290</f>
        <v>2290</v>
      </c>
      <c r="N137" s="32" t="s">
        <v>1114</v>
      </c>
      <c r="O137" s="31">
        <f>2194</f>
        <v>2194</v>
      </c>
      <c r="P137" s="32" t="s">
        <v>682</v>
      </c>
      <c r="Q137" s="31">
        <f>2282</f>
        <v>2282</v>
      </c>
      <c r="R137" s="32" t="s">
        <v>1114</v>
      </c>
      <c r="S137" s="33">
        <f>2242.79</f>
        <v>2242.79</v>
      </c>
      <c r="T137" s="30">
        <f>21940</f>
        <v>21940</v>
      </c>
      <c r="U137" s="30" t="str">
        <f>"－"</f>
        <v>－</v>
      </c>
      <c r="V137" s="30">
        <f>49623870</f>
        <v>49623870</v>
      </c>
      <c r="W137" s="30" t="str">
        <f>"－"</f>
        <v>－</v>
      </c>
      <c r="X137" s="34">
        <f>12</f>
        <v>12</v>
      </c>
    </row>
    <row r="138" spans="1:24">
      <c r="A138" s="25" t="s">
        <v>1172</v>
      </c>
      <c r="B138" s="25" t="s">
        <v>369</v>
      </c>
      <c r="C138" s="25" t="s">
        <v>370</v>
      </c>
      <c r="D138" s="25" t="s">
        <v>371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10</v>
      </c>
      <c r="K138" s="31">
        <f>599.7</f>
        <v>599.70000000000005</v>
      </c>
      <c r="L138" s="32" t="s">
        <v>1145</v>
      </c>
      <c r="M138" s="31">
        <f>640</f>
        <v>640</v>
      </c>
      <c r="N138" s="32" t="s">
        <v>1114</v>
      </c>
      <c r="O138" s="31">
        <f>592.9</f>
        <v>592.9</v>
      </c>
      <c r="P138" s="32" t="s">
        <v>674</v>
      </c>
      <c r="Q138" s="31">
        <f>638.6</f>
        <v>638.6</v>
      </c>
      <c r="R138" s="32" t="s">
        <v>1114</v>
      </c>
      <c r="S138" s="33">
        <f>617.06</f>
        <v>617.05999999999995</v>
      </c>
      <c r="T138" s="30">
        <f>43620110</f>
        <v>43620110</v>
      </c>
      <c r="U138" s="30">
        <f>6327290</f>
        <v>6327290</v>
      </c>
      <c r="V138" s="30">
        <f>26875935653</f>
        <v>26875935653</v>
      </c>
      <c r="W138" s="30">
        <f>3846943634</f>
        <v>3846943634</v>
      </c>
      <c r="X138" s="34">
        <f>20</f>
        <v>20</v>
      </c>
    </row>
    <row r="139" spans="1:24">
      <c r="A139" s="25" t="s">
        <v>1172</v>
      </c>
      <c r="B139" s="25" t="s">
        <v>372</v>
      </c>
      <c r="C139" s="25" t="s">
        <v>373</v>
      </c>
      <c r="D139" s="25" t="s">
        <v>374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10</v>
      </c>
      <c r="K139" s="31">
        <f>303.5</f>
        <v>303.5</v>
      </c>
      <c r="L139" s="32" t="s">
        <v>1145</v>
      </c>
      <c r="M139" s="31">
        <f>317.7</f>
        <v>317.7</v>
      </c>
      <c r="N139" s="32" t="s">
        <v>679</v>
      </c>
      <c r="O139" s="31">
        <f>303.5</f>
        <v>303.5</v>
      </c>
      <c r="P139" s="32" t="s">
        <v>1145</v>
      </c>
      <c r="Q139" s="31">
        <f>316.8</f>
        <v>316.8</v>
      </c>
      <c r="R139" s="32" t="s">
        <v>1114</v>
      </c>
      <c r="S139" s="33">
        <f>310.04</f>
        <v>310.04000000000002</v>
      </c>
      <c r="T139" s="30">
        <f>13203880</f>
        <v>13203880</v>
      </c>
      <c r="U139" s="30">
        <f>5000890</f>
        <v>5000890</v>
      </c>
      <c r="V139" s="30">
        <f>4075920738</f>
        <v>4075920738</v>
      </c>
      <c r="W139" s="30">
        <f>1524128988</f>
        <v>1524128988</v>
      </c>
      <c r="X139" s="34">
        <f>20</f>
        <v>20</v>
      </c>
    </row>
    <row r="140" spans="1:24">
      <c r="A140" s="25" t="s">
        <v>1172</v>
      </c>
      <c r="B140" s="25" t="s">
        <v>375</v>
      </c>
      <c r="C140" s="25" t="s">
        <v>973</v>
      </c>
      <c r="D140" s="25" t="s">
        <v>376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5070</f>
        <v>5070</v>
      </c>
      <c r="L140" s="32" t="s">
        <v>1145</v>
      </c>
      <c r="M140" s="31">
        <f>5330</f>
        <v>5330</v>
      </c>
      <c r="N140" s="32" t="s">
        <v>1114</v>
      </c>
      <c r="O140" s="31">
        <f>5000</f>
        <v>5000</v>
      </c>
      <c r="P140" s="32" t="s">
        <v>674</v>
      </c>
      <c r="Q140" s="31">
        <f>5320</f>
        <v>5320</v>
      </c>
      <c r="R140" s="32" t="s">
        <v>1114</v>
      </c>
      <c r="S140" s="33">
        <f>5178</f>
        <v>5178</v>
      </c>
      <c r="T140" s="30">
        <f>218250</f>
        <v>218250</v>
      </c>
      <c r="U140" s="30">
        <f>77131</f>
        <v>77131</v>
      </c>
      <c r="V140" s="30">
        <f>1129545753</f>
        <v>1129545753</v>
      </c>
      <c r="W140" s="30">
        <f>400580383</f>
        <v>400580383</v>
      </c>
      <c r="X140" s="34">
        <f>20</f>
        <v>20</v>
      </c>
    </row>
    <row r="141" spans="1:24">
      <c r="A141" s="25" t="s">
        <v>1172</v>
      </c>
      <c r="B141" s="25" t="s">
        <v>377</v>
      </c>
      <c r="C141" s="25" t="s">
        <v>378</v>
      </c>
      <c r="D141" s="25" t="s">
        <v>379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2799</f>
        <v>2799</v>
      </c>
      <c r="L141" s="32" t="s">
        <v>1145</v>
      </c>
      <c r="M141" s="31">
        <f>2957</f>
        <v>2957</v>
      </c>
      <c r="N141" s="32" t="s">
        <v>1114</v>
      </c>
      <c r="O141" s="31">
        <f>2726</f>
        <v>2726</v>
      </c>
      <c r="P141" s="32" t="s">
        <v>674</v>
      </c>
      <c r="Q141" s="31">
        <f>2941</f>
        <v>2941</v>
      </c>
      <c r="R141" s="32" t="s">
        <v>1114</v>
      </c>
      <c r="S141" s="33">
        <f>2845.95</f>
        <v>2845.95</v>
      </c>
      <c r="T141" s="30">
        <f>166664</f>
        <v>166664</v>
      </c>
      <c r="U141" s="30">
        <f>93105</f>
        <v>93105</v>
      </c>
      <c r="V141" s="30">
        <f>473558259</f>
        <v>473558259</v>
      </c>
      <c r="W141" s="30">
        <f>263471329</f>
        <v>263471329</v>
      </c>
      <c r="X141" s="34">
        <f>20</f>
        <v>20</v>
      </c>
    </row>
    <row r="142" spans="1:24">
      <c r="A142" s="25" t="s">
        <v>1172</v>
      </c>
      <c r="B142" s="25" t="s">
        <v>380</v>
      </c>
      <c r="C142" s="25" t="s">
        <v>381</v>
      </c>
      <c r="D142" s="25" t="s">
        <v>382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3055</f>
        <v>3055</v>
      </c>
      <c r="L142" s="32" t="s">
        <v>1145</v>
      </c>
      <c r="M142" s="31">
        <f>3185</f>
        <v>3185</v>
      </c>
      <c r="N142" s="32" t="s">
        <v>1114</v>
      </c>
      <c r="O142" s="31">
        <f>3015</f>
        <v>3015</v>
      </c>
      <c r="P142" s="32" t="s">
        <v>675</v>
      </c>
      <c r="Q142" s="31">
        <f>3185</f>
        <v>3185</v>
      </c>
      <c r="R142" s="32" t="s">
        <v>1114</v>
      </c>
      <c r="S142" s="33">
        <f>3091.75</f>
        <v>3091.75</v>
      </c>
      <c r="T142" s="30">
        <f>128598</f>
        <v>128598</v>
      </c>
      <c r="U142" s="30" t="str">
        <f>"－"</f>
        <v>－</v>
      </c>
      <c r="V142" s="30">
        <f>396991765</f>
        <v>396991765</v>
      </c>
      <c r="W142" s="30" t="str">
        <f>"－"</f>
        <v>－</v>
      </c>
      <c r="X142" s="34">
        <f>20</f>
        <v>20</v>
      </c>
    </row>
    <row r="143" spans="1:24">
      <c r="A143" s="25" t="s">
        <v>1172</v>
      </c>
      <c r="B143" s="25" t="s">
        <v>383</v>
      </c>
      <c r="C143" s="25" t="s">
        <v>384</v>
      </c>
      <c r="D143" s="25" t="s">
        <v>385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10025</f>
        <v>10025</v>
      </c>
      <c r="L143" s="32" t="s">
        <v>1145</v>
      </c>
      <c r="M143" s="31">
        <f>10060</f>
        <v>10060</v>
      </c>
      <c r="N143" s="32" t="s">
        <v>676</v>
      </c>
      <c r="O143" s="31">
        <f>9805</f>
        <v>9805</v>
      </c>
      <c r="P143" s="32" t="s">
        <v>678</v>
      </c>
      <c r="Q143" s="31">
        <f>9939</f>
        <v>9939</v>
      </c>
      <c r="R143" s="32" t="s">
        <v>1114</v>
      </c>
      <c r="S143" s="33">
        <f>9936.05</f>
        <v>9936.0499999999993</v>
      </c>
      <c r="T143" s="30">
        <f>171476</f>
        <v>171476</v>
      </c>
      <c r="U143" s="30">
        <f>78062</f>
        <v>78062</v>
      </c>
      <c r="V143" s="30">
        <f>1697427247</f>
        <v>1697427247</v>
      </c>
      <c r="W143" s="30">
        <f>770773479</f>
        <v>770773479</v>
      </c>
      <c r="X143" s="34">
        <f>20</f>
        <v>20</v>
      </c>
    </row>
    <row r="144" spans="1:24">
      <c r="A144" s="25" t="s">
        <v>1172</v>
      </c>
      <c r="B144" s="25" t="s">
        <v>386</v>
      </c>
      <c r="C144" s="25" t="s">
        <v>387</v>
      </c>
      <c r="D144" s="25" t="s">
        <v>388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3220</f>
        <v>3220</v>
      </c>
      <c r="L144" s="32" t="s">
        <v>1145</v>
      </c>
      <c r="M144" s="31">
        <f>3555</f>
        <v>3555</v>
      </c>
      <c r="N144" s="32" t="s">
        <v>1114</v>
      </c>
      <c r="O144" s="31">
        <f>3025</f>
        <v>3025</v>
      </c>
      <c r="P144" s="32" t="s">
        <v>674</v>
      </c>
      <c r="Q144" s="31">
        <f>3550</f>
        <v>3550</v>
      </c>
      <c r="R144" s="32" t="s">
        <v>1114</v>
      </c>
      <c r="S144" s="33">
        <f>3319.25</f>
        <v>3319.25</v>
      </c>
      <c r="T144" s="30">
        <f>3699981</f>
        <v>3699981</v>
      </c>
      <c r="U144" s="30">
        <f>3067</f>
        <v>3067</v>
      </c>
      <c r="V144" s="30">
        <f>12165527918</f>
        <v>12165527918</v>
      </c>
      <c r="W144" s="30">
        <f>9702048</f>
        <v>9702048</v>
      </c>
      <c r="X144" s="34">
        <f>20</f>
        <v>20</v>
      </c>
    </row>
    <row r="145" spans="1:24">
      <c r="A145" s="25" t="s">
        <v>1172</v>
      </c>
      <c r="B145" s="25" t="s">
        <v>389</v>
      </c>
      <c r="C145" s="25" t="s">
        <v>390</v>
      </c>
      <c r="D145" s="25" t="s">
        <v>391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34210</f>
        <v>34210</v>
      </c>
      <c r="L145" s="32" t="s">
        <v>1145</v>
      </c>
      <c r="M145" s="31">
        <f>35260</f>
        <v>35260</v>
      </c>
      <c r="N145" s="32" t="s">
        <v>1112</v>
      </c>
      <c r="O145" s="31">
        <f>33400</f>
        <v>33400</v>
      </c>
      <c r="P145" s="32" t="s">
        <v>759</v>
      </c>
      <c r="Q145" s="31">
        <f>34980</f>
        <v>34980</v>
      </c>
      <c r="R145" s="32" t="s">
        <v>1114</v>
      </c>
      <c r="S145" s="33">
        <f>34356.5</f>
        <v>34356.5</v>
      </c>
      <c r="T145" s="30">
        <f>11528</f>
        <v>11528</v>
      </c>
      <c r="U145" s="30" t="str">
        <f>"－"</f>
        <v>－</v>
      </c>
      <c r="V145" s="30">
        <f>394394120</f>
        <v>394394120</v>
      </c>
      <c r="W145" s="30" t="str">
        <f>"－"</f>
        <v>－</v>
      </c>
      <c r="X145" s="34">
        <f>20</f>
        <v>20</v>
      </c>
    </row>
    <row r="146" spans="1:24">
      <c r="A146" s="25" t="s">
        <v>1172</v>
      </c>
      <c r="B146" s="25" t="s">
        <v>392</v>
      </c>
      <c r="C146" s="25" t="s">
        <v>393</v>
      </c>
      <c r="D146" s="25" t="s">
        <v>394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10</v>
      </c>
      <c r="K146" s="31">
        <f>4415</f>
        <v>4415</v>
      </c>
      <c r="L146" s="32" t="s">
        <v>1145</v>
      </c>
      <c r="M146" s="31">
        <f>4556</f>
        <v>4556</v>
      </c>
      <c r="N146" s="32" t="s">
        <v>1112</v>
      </c>
      <c r="O146" s="31">
        <f>4150</f>
        <v>4150</v>
      </c>
      <c r="P146" s="32" t="s">
        <v>1117</v>
      </c>
      <c r="Q146" s="31">
        <f>4323</f>
        <v>4323</v>
      </c>
      <c r="R146" s="32" t="s">
        <v>1114</v>
      </c>
      <c r="S146" s="33">
        <f>4309.55</f>
        <v>4309.55</v>
      </c>
      <c r="T146" s="30">
        <f>106830</f>
        <v>106830</v>
      </c>
      <c r="U146" s="30" t="str">
        <f>"－"</f>
        <v>－</v>
      </c>
      <c r="V146" s="30">
        <f>459790070</f>
        <v>459790070</v>
      </c>
      <c r="W146" s="30" t="str">
        <f>"－"</f>
        <v>－</v>
      </c>
      <c r="X146" s="34">
        <f>20</f>
        <v>20</v>
      </c>
    </row>
    <row r="147" spans="1:24">
      <c r="A147" s="25" t="s">
        <v>1172</v>
      </c>
      <c r="B147" s="25" t="s">
        <v>395</v>
      </c>
      <c r="C147" s="25" t="s">
        <v>396</v>
      </c>
      <c r="D147" s="25" t="s">
        <v>397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15200</f>
        <v>15200</v>
      </c>
      <c r="L147" s="32" t="s">
        <v>1145</v>
      </c>
      <c r="M147" s="31">
        <f>15250</f>
        <v>15250</v>
      </c>
      <c r="N147" s="32" t="s">
        <v>1145</v>
      </c>
      <c r="O147" s="31">
        <f>13745</f>
        <v>13745</v>
      </c>
      <c r="P147" s="32" t="s">
        <v>1117</v>
      </c>
      <c r="Q147" s="31">
        <f>14770</f>
        <v>14770</v>
      </c>
      <c r="R147" s="32" t="s">
        <v>1114</v>
      </c>
      <c r="S147" s="33">
        <f>14408.25</f>
        <v>14408.25</v>
      </c>
      <c r="T147" s="30">
        <f>7083</f>
        <v>7083</v>
      </c>
      <c r="U147" s="30" t="str">
        <f>"－"</f>
        <v>－</v>
      </c>
      <c r="V147" s="30">
        <f>102211510</f>
        <v>102211510</v>
      </c>
      <c r="W147" s="30" t="str">
        <f>"－"</f>
        <v>－</v>
      </c>
      <c r="X147" s="34">
        <f>20</f>
        <v>20</v>
      </c>
    </row>
    <row r="148" spans="1:24">
      <c r="A148" s="25" t="s">
        <v>1172</v>
      </c>
      <c r="B148" s="25" t="s">
        <v>398</v>
      </c>
      <c r="C148" s="25" t="s">
        <v>399</v>
      </c>
      <c r="D148" s="25" t="s">
        <v>400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</v>
      </c>
      <c r="K148" s="31">
        <f>13410</f>
        <v>13410</v>
      </c>
      <c r="L148" s="32" t="s">
        <v>1145</v>
      </c>
      <c r="M148" s="31">
        <f>14540</f>
        <v>14540</v>
      </c>
      <c r="N148" s="32" t="s">
        <v>679</v>
      </c>
      <c r="O148" s="31">
        <f>12910</f>
        <v>12910</v>
      </c>
      <c r="P148" s="32" t="s">
        <v>1117</v>
      </c>
      <c r="Q148" s="31">
        <f>14100</f>
        <v>14100</v>
      </c>
      <c r="R148" s="32" t="s">
        <v>1114</v>
      </c>
      <c r="S148" s="33">
        <f>13428.25</f>
        <v>13428.25</v>
      </c>
      <c r="T148" s="30">
        <f>14254</f>
        <v>14254</v>
      </c>
      <c r="U148" s="30" t="str">
        <f>"－"</f>
        <v>－</v>
      </c>
      <c r="V148" s="30">
        <f>194275180</f>
        <v>194275180</v>
      </c>
      <c r="W148" s="30" t="str">
        <f>"－"</f>
        <v>－</v>
      </c>
      <c r="X148" s="34">
        <f>20</f>
        <v>20</v>
      </c>
    </row>
    <row r="149" spans="1:24">
      <c r="A149" s="25" t="s">
        <v>1172</v>
      </c>
      <c r="B149" s="25" t="s">
        <v>401</v>
      </c>
      <c r="C149" s="25" t="s">
        <v>402</v>
      </c>
      <c r="D149" s="25" t="s">
        <v>403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</v>
      </c>
      <c r="K149" s="31">
        <f>23035</f>
        <v>23035</v>
      </c>
      <c r="L149" s="32" t="s">
        <v>1145</v>
      </c>
      <c r="M149" s="31">
        <f>25385</f>
        <v>25385</v>
      </c>
      <c r="N149" s="32" t="s">
        <v>675</v>
      </c>
      <c r="O149" s="31">
        <f>22320</f>
        <v>22320</v>
      </c>
      <c r="P149" s="32" t="s">
        <v>677</v>
      </c>
      <c r="Q149" s="31">
        <f>23380</f>
        <v>23380</v>
      </c>
      <c r="R149" s="32" t="s">
        <v>1114</v>
      </c>
      <c r="S149" s="33">
        <f>23058.24</f>
        <v>23058.240000000002</v>
      </c>
      <c r="T149" s="30">
        <f>498</f>
        <v>498</v>
      </c>
      <c r="U149" s="30" t="str">
        <f>"－"</f>
        <v>－</v>
      </c>
      <c r="V149" s="30">
        <f>11595160</f>
        <v>11595160</v>
      </c>
      <c r="W149" s="30" t="str">
        <f>"－"</f>
        <v>－</v>
      </c>
      <c r="X149" s="34">
        <f>17</f>
        <v>17</v>
      </c>
    </row>
    <row r="150" spans="1:24">
      <c r="A150" s="25" t="s">
        <v>1172</v>
      </c>
      <c r="B150" s="25" t="s">
        <v>404</v>
      </c>
      <c r="C150" s="25" t="s">
        <v>405</v>
      </c>
      <c r="D150" s="25" t="s">
        <v>406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56970</f>
        <v>56970</v>
      </c>
      <c r="L150" s="32" t="s">
        <v>1145</v>
      </c>
      <c r="M150" s="31">
        <f>58680</f>
        <v>58680</v>
      </c>
      <c r="N150" s="32" t="s">
        <v>1114</v>
      </c>
      <c r="O150" s="31">
        <f>56870</f>
        <v>56870</v>
      </c>
      <c r="P150" s="32" t="s">
        <v>684</v>
      </c>
      <c r="Q150" s="31">
        <f>58680</f>
        <v>58680</v>
      </c>
      <c r="R150" s="32" t="s">
        <v>1114</v>
      </c>
      <c r="S150" s="33">
        <f>57636.5</f>
        <v>57636.5</v>
      </c>
      <c r="T150" s="30">
        <f>2940</f>
        <v>2940</v>
      </c>
      <c r="U150" s="30">
        <f>30</f>
        <v>30</v>
      </c>
      <c r="V150" s="30">
        <f>169316200</f>
        <v>169316200</v>
      </c>
      <c r="W150" s="30">
        <f>1749800</f>
        <v>1749800</v>
      </c>
      <c r="X150" s="34">
        <f>20</f>
        <v>20</v>
      </c>
    </row>
    <row r="151" spans="1:24">
      <c r="A151" s="25" t="s">
        <v>1172</v>
      </c>
      <c r="B151" s="25" t="s">
        <v>407</v>
      </c>
      <c r="C151" s="25" t="s">
        <v>974</v>
      </c>
      <c r="D151" s="25" t="s">
        <v>408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374.4</f>
        <v>374.4</v>
      </c>
      <c r="L151" s="32" t="s">
        <v>1145</v>
      </c>
      <c r="M151" s="31">
        <f>402.6</f>
        <v>402.6</v>
      </c>
      <c r="N151" s="32" t="s">
        <v>1114</v>
      </c>
      <c r="O151" s="31">
        <f>352.1</f>
        <v>352.1</v>
      </c>
      <c r="P151" s="32" t="s">
        <v>674</v>
      </c>
      <c r="Q151" s="31">
        <f>401.6</f>
        <v>401.6</v>
      </c>
      <c r="R151" s="32" t="s">
        <v>1114</v>
      </c>
      <c r="S151" s="33">
        <f>381.63</f>
        <v>381.63</v>
      </c>
      <c r="T151" s="30">
        <f>84745930</f>
        <v>84745930</v>
      </c>
      <c r="U151" s="30">
        <f>812600</f>
        <v>812600</v>
      </c>
      <c r="V151" s="30">
        <f>31916201122</f>
        <v>31916201122</v>
      </c>
      <c r="W151" s="30">
        <f>300919200</f>
        <v>300919200</v>
      </c>
      <c r="X151" s="34">
        <f>20</f>
        <v>20</v>
      </c>
    </row>
    <row r="152" spans="1:24">
      <c r="A152" s="25" t="s">
        <v>1172</v>
      </c>
      <c r="B152" s="25" t="s">
        <v>409</v>
      </c>
      <c r="C152" s="25" t="s">
        <v>975</v>
      </c>
      <c r="D152" s="25" t="s">
        <v>410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51040</f>
        <v>51040</v>
      </c>
      <c r="L152" s="32" t="s">
        <v>1145</v>
      </c>
      <c r="M152" s="31">
        <f>52840</f>
        <v>52840</v>
      </c>
      <c r="N152" s="32" t="s">
        <v>679</v>
      </c>
      <c r="O152" s="31">
        <f>50390</f>
        <v>50390</v>
      </c>
      <c r="P152" s="32" t="s">
        <v>674</v>
      </c>
      <c r="Q152" s="31">
        <f>52750</f>
        <v>52750</v>
      </c>
      <c r="R152" s="32" t="s">
        <v>1114</v>
      </c>
      <c r="S152" s="33">
        <f>51350</f>
        <v>51350</v>
      </c>
      <c r="T152" s="30">
        <f>1290</f>
        <v>1290</v>
      </c>
      <c r="U152" s="30" t="str">
        <f>"－"</f>
        <v>－</v>
      </c>
      <c r="V152" s="30">
        <f>66624100</f>
        <v>66624100</v>
      </c>
      <c r="W152" s="30" t="str">
        <f>"－"</f>
        <v>－</v>
      </c>
      <c r="X152" s="34">
        <f>17</f>
        <v>17</v>
      </c>
    </row>
    <row r="153" spans="1:24">
      <c r="A153" s="25" t="s">
        <v>1172</v>
      </c>
      <c r="B153" s="25" t="s">
        <v>411</v>
      </c>
      <c r="C153" s="25" t="s">
        <v>412</v>
      </c>
      <c r="D153" s="25" t="s">
        <v>976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5771</f>
        <v>5771</v>
      </c>
      <c r="L153" s="32" t="s">
        <v>1145</v>
      </c>
      <c r="M153" s="31">
        <f>6071</f>
        <v>6071</v>
      </c>
      <c r="N153" s="32" t="s">
        <v>1114</v>
      </c>
      <c r="O153" s="31">
        <f>5701</f>
        <v>5701</v>
      </c>
      <c r="P153" s="32" t="s">
        <v>674</v>
      </c>
      <c r="Q153" s="31">
        <f>6063</f>
        <v>6063</v>
      </c>
      <c r="R153" s="32" t="s">
        <v>1114</v>
      </c>
      <c r="S153" s="33">
        <f>5893.85</f>
        <v>5893.85</v>
      </c>
      <c r="T153" s="30">
        <f>62340</f>
        <v>62340</v>
      </c>
      <c r="U153" s="30" t="str">
        <f>"－"</f>
        <v>－</v>
      </c>
      <c r="V153" s="30">
        <f>368672620</f>
        <v>368672620</v>
      </c>
      <c r="W153" s="30" t="str">
        <f>"－"</f>
        <v>－</v>
      </c>
      <c r="X153" s="34">
        <f>20</f>
        <v>20</v>
      </c>
    </row>
    <row r="154" spans="1:24">
      <c r="A154" s="25" t="s">
        <v>1172</v>
      </c>
      <c r="B154" s="25" t="s">
        <v>413</v>
      </c>
      <c r="C154" s="25" t="s">
        <v>977</v>
      </c>
      <c r="D154" s="25" t="s">
        <v>978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2171</f>
        <v>2171</v>
      </c>
      <c r="L154" s="32" t="s">
        <v>1145</v>
      </c>
      <c r="M154" s="31">
        <f>2250</f>
        <v>2250</v>
      </c>
      <c r="N154" s="32" t="s">
        <v>676</v>
      </c>
      <c r="O154" s="31">
        <f>2101</f>
        <v>2101</v>
      </c>
      <c r="P154" s="32" t="s">
        <v>674</v>
      </c>
      <c r="Q154" s="31">
        <f>2224</f>
        <v>2224</v>
      </c>
      <c r="R154" s="32" t="s">
        <v>1114</v>
      </c>
      <c r="S154" s="33">
        <f>2174.23</f>
        <v>2174.23</v>
      </c>
      <c r="T154" s="30">
        <f>236730</f>
        <v>236730</v>
      </c>
      <c r="U154" s="30">
        <f>51710</f>
        <v>51710</v>
      </c>
      <c r="V154" s="30">
        <f>516358457</f>
        <v>516358457</v>
      </c>
      <c r="W154" s="30">
        <f>113380292</f>
        <v>113380292</v>
      </c>
      <c r="X154" s="34">
        <f>20</f>
        <v>20</v>
      </c>
    </row>
    <row r="155" spans="1:24">
      <c r="A155" s="25" t="s">
        <v>1172</v>
      </c>
      <c r="B155" s="25" t="s">
        <v>414</v>
      </c>
      <c r="C155" s="25" t="s">
        <v>415</v>
      </c>
      <c r="D155" s="25" t="s">
        <v>416</v>
      </c>
      <c r="E155" s="26" t="s">
        <v>43</v>
      </c>
      <c r="F155" s="27" t="s">
        <v>43</v>
      </c>
      <c r="G155" s="28" t="s">
        <v>43</v>
      </c>
      <c r="H155" s="29" t="s">
        <v>240</v>
      </c>
      <c r="I155" s="29" t="s">
        <v>44</v>
      </c>
      <c r="J155" s="30">
        <v>100</v>
      </c>
      <c r="K155" s="31">
        <f>279.6</f>
        <v>279.60000000000002</v>
      </c>
      <c r="L155" s="32" t="s">
        <v>1145</v>
      </c>
      <c r="M155" s="31">
        <f>279.6</f>
        <v>279.60000000000002</v>
      </c>
      <c r="N155" s="32" t="s">
        <v>1145</v>
      </c>
      <c r="O155" s="31">
        <f>251</f>
        <v>251</v>
      </c>
      <c r="P155" s="32" t="s">
        <v>682</v>
      </c>
      <c r="Q155" s="31">
        <f>269.9</f>
        <v>269.89999999999998</v>
      </c>
      <c r="R155" s="32" t="s">
        <v>1114</v>
      </c>
      <c r="S155" s="33">
        <f>262.52</f>
        <v>262.52</v>
      </c>
      <c r="T155" s="30">
        <f>138900</f>
        <v>138900</v>
      </c>
      <c r="U155" s="30">
        <f>1500</f>
        <v>1500</v>
      </c>
      <c r="V155" s="30">
        <f>36415340</f>
        <v>36415340</v>
      </c>
      <c r="W155" s="30">
        <f>393450</f>
        <v>393450</v>
      </c>
      <c r="X155" s="34">
        <f>20</f>
        <v>20</v>
      </c>
    </row>
    <row r="156" spans="1:24">
      <c r="A156" s="25" t="s">
        <v>1172</v>
      </c>
      <c r="B156" s="25" t="s">
        <v>417</v>
      </c>
      <c r="C156" s="25" t="s">
        <v>418</v>
      </c>
      <c r="D156" s="25" t="s">
        <v>419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1788.5</f>
        <v>1788.5</v>
      </c>
      <c r="L156" s="32" t="s">
        <v>1145</v>
      </c>
      <c r="M156" s="31">
        <f>1813.5</f>
        <v>1813.5</v>
      </c>
      <c r="N156" s="32" t="s">
        <v>1145</v>
      </c>
      <c r="O156" s="31">
        <f>1719.5</f>
        <v>1719.5</v>
      </c>
      <c r="P156" s="32" t="s">
        <v>674</v>
      </c>
      <c r="Q156" s="31">
        <f>1799</f>
        <v>1799</v>
      </c>
      <c r="R156" s="32" t="s">
        <v>1114</v>
      </c>
      <c r="S156" s="33">
        <f>1778.39</f>
        <v>1778.39</v>
      </c>
      <c r="T156" s="30">
        <f>2440</f>
        <v>2440</v>
      </c>
      <c r="U156" s="30" t="str">
        <f t="shared" ref="U156:U169" si="2">"－"</f>
        <v>－</v>
      </c>
      <c r="V156" s="30">
        <f>4326965</f>
        <v>4326965</v>
      </c>
      <c r="W156" s="30" t="str">
        <f t="shared" ref="W156:W169" si="3">"－"</f>
        <v>－</v>
      </c>
      <c r="X156" s="34">
        <f>14</f>
        <v>14</v>
      </c>
    </row>
    <row r="157" spans="1:24">
      <c r="A157" s="25" t="s">
        <v>1172</v>
      </c>
      <c r="B157" s="25" t="s">
        <v>420</v>
      </c>
      <c r="C157" s="25" t="s">
        <v>421</v>
      </c>
      <c r="D157" s="25" t="s">
        <v>422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579.3</f>
        <v>579.29999999999995</v>
      </c>
      <c r="L157" s="32" t="s">
        <v>1145</v>
      </c>
      <c r="M157" s="31">
        <f>624.9</f>
        <v>624.9</v>
      </c>
      <c r="N157" s="32" t="s">
        <v>1114</v>
      </c>
      <c r="O157" s="31">
        <f>546</f>
        <v>546</v>
      </c>
      <c r="P157" s="32" t="s">
        <v>674</v>
      </c>
      <c r="Q157" s="31">
        <f>624.8</f>
        <v>624.79999999999995</v>
      </c>
      <c r="R157" s="32" t="s">
        <v>1114</v>
      </c>
      <c r="S157" s="33">
        <f>597.51</f>
        <v>597.51</v>
      </c>
      <c r="T157" s="30">
        <f>38160</f>
        <v>38160</v>
      </c>
      <c r="U157" s="30" t="str">
        <f t="shared" si="2"/>
        <v>－</v>
      </c>
      <c r="V157" s="30">
        <f>22593659</f>
        <v>22593659</v>
      </c>
      <c r="W157" s="30" t="str">
        <f t="shared" si="3"/>
        <v>－</v>
      </c>
      <c r="X157" s="34">
        <f>20</f>
        <v>20</v>
      </c>
    </row>
    <row r="158" spans="1:24">
      <c r="A158" s="25" t="s">
        <v>1172</v>
      </c>
      <c r="B158" s="25" t="s">
        <v>423</v>
      </c>
      <c r="C158" s="25" t="s">
        <v>424</v>
      </c>
      <c r="D158" s="25" t="s">
        <v>425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2620</f>
        <v>2620</v>
      </c>
      <c r="L158" s="32" t="s">
        <v>1145</v>
      </c>
      <c r="M158" s="31">
        <f>2646</f>
        <v>2646</v>
      </c>
      <c r="N158" s="32" t="s">
        <v>675</v>
      </c>
      <c r="O158" s="31">
        <f>2440</f>
        <v>2440</v>
      </c>
      <c r="P158" s="32" t="s">
        <v>682</v>
      </c>
      <c r="Q158" s="31">
        <f>2508.5</f>
        <v>2508.5</v>
      </c>
      <c r="R158" s="32" t="s">
        <v>1114</v>
      </c>
      <c r="S158" s="33">
        <f>2500.38</f>
        <v>2500.38</v>
      </c>
      <c r="T158" s="30">
        <f>6420</f>
        <v>6420</v>
      </c>
      <c r="U158" s="30" t="str">
        <f t="shared" si="2"/>
        <v>－</v>
      </c>
      <c r="V158" s="30">
        <f>16186740</f>
        <v>16186740</v>
      </c>
      <c r="W158" s="30" t="str">
        <f t="shared" si="3"/>
        <v>－</v>
      </c>
      <c r="X158" s="34">
        <f>20</f>
        <v>20</v>
      </c>
    </row>
    <row r="159" spans="1:24">
      <c r="A159" s="25" t="s">
        <v>1172</v>
      </c>
      <c r="B159" s="25" t="s">
        <v>426</v>
      </c>
      <c r="C159" s="25" t="s">
        <v>427</v>
      </c>
      <c r="D159" s="25" t="s">
        <v>428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987.9</f>
        <v>987.9</v>
      </c>
      <c r="L159" s="32" t="s">
        <v>1145</v>
      </c>
      <c r="M159" s="31">
        <f>994.9</f>
        <v>994.9</v>
      </c>
      <c r="N159" s="32" t="s">
        <v>759</v>
      </c>
      <c r="O159" s="31">
        <f>952.8</f>
        <v>952.8</v>
      </c>
      <c r="P159" s="32" t="s">
        <v>1111</v>
      </c>
      <c r="Q159" s="31">
        <f>965.3</f>
        <v>965.3</v>
      </c>
      <c r="R159" s="32" t="s">
        <v>1114</v>
      </c>
      <c r="S159" s="33">
        <f>966.51</f>
        <v>966.51</v>
      </c>
      <c r="T159" s="30">
        <f>43210</f>
        <v>43210</v>
      </c>
      <c r="U159" s="30" t="str">
        <f t="shared" si="2"/>
        <v>－</v>
      </c>
      <c r="V159" s="30">
        <f>41983561</f>
        <v>41983561</v>
      </c>
      <c r="W159" s="30" t="str">
        <f t="shared" si="3"/>
        <v>－</v>
      </c>
      <c r="X159" s="34">
        <f>20</f>
        <v>20</v>
      </c>
    </row>
    <row r="160" spans="1:24">
      <c r="A160" s="25" t="s">
        <v>1172</v>
      </c>
      <c r="B160" s="25" t="s">
        <v>429</v>
      </c>
      <c r="C160" s="25" t="s">
        <v>430</v>
      </c>
      <c r="D160" s="25" t="s">
        <v>431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10</v>
      </c>
      <c r="K160" s="31">
        <f>644.1</f>
        <v>644.1</v>
      </c>
      <c r="L160" s="32" t="s">
        <v>1145</v>
      </c>
      <c r="M160" s="31">
        <f>645.9</f>
        <v>645.9</v>
      </c>
      <c r="N160" s="32" t="s">
        <v>1145</v>
      </c>
      <c r="O160" s="31">
        <f>590</f>
        <v>590</v>
      </c>
      <c r="P160" s="32" t="s">
        <v>676</v>
      </c>
      <c r="Q160" s="31">
        <f>598.3</f>
        <v>598.29999999999995</v>
      </c>
      <c r="R160" s="32" t="s">
        <v>1114</v>
      </c>
      <c r="S160" s="33">
        <f>615.69</f>
        <v>615.69000000000005</v>
      </c>
      <c r="T160" s="30">
        <f>88910</f>
        <v>88910</v>
      </c>
      <c r="U160" s="30" t="str">
        <f t="shared" si="2"/>
        <v>－</v>
      </c>
      <c r="V160" s="30">
        <f>54739088</f>
        <v>54739088</v>
      </c>
      <c r="W160" s="30" t="str">
        <f t="shared" si="3"/>
        <v>－</v>
      </c>
      <c r="X160" s="34">
        <f>20</f>
        <v>20</v>
      </c>
    </row>
    <row r="161" spans="1:24">
      <c r="A161" s="25" t="s">
        <v>1172</v>
      </c>
      <c r="B161" s="25" t="s">
        <v>432</v>
      </c>
      <c r="C161" s="25" t="s">
        <v>433</v>
      </c>
      <c r="D161" s="25" t="s">
        <v>434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</v>
      </c>
      <c r="K161" s="31">
        <f>1427</f>
        <v>1427</v>
      </c>
      <c r="L161" s="32" t="s">
        <v>1145</v>
      </c>
      <c r="M161" s="31">
        <f>1664</f>
        <v>1664</v>
      </c>
      <c r="N161" s="32" t="s">
        <v>677</v>
      </c>
      <c r="O161" s="31">
        <f>1385</f>
        <v>1385</v>
      </c>
      <c r="P161" s="32" t="s">
        <v>674</v>
      </c>
      <c r="Q161" s="31">
        <f>1460</f>
        <v>1460</v>
      </c>
      <c r="R161" s="32" t="s">
        <v>1114</v>
      </c>
      <c r="S161" s="33">
        <f>1524.95</f>
        <v>1524.95</v>
      </c>
      <c r="T161" s="30">
        <f>1291973</f>
        <v>1291973</v>
      </c>
      <c r="U161" s="30" t="str">
        <f t="shared" si="2"/>
        <v>－</v>
      </c>
      <c r="V161" s="30">
        <f>1962513841</f>
        <v>1962513841</v>
      </c>
      <c r="W161" s="30" t="str">
        <f t="shared" si="3"/>
        <v>－</v>
      </c>
      <c r="X161" s="34">
        <f>20</f>
        <v>20</v>
      </c>
    </row>
    <row r="162" spans="1:24">
      <c r="A162" s="25" t="s">
        <v>1172</v>
      </c>
      <c r="B162" s="25" t="s">
        <v>435</v>
      </c>
      <c r="C162" s="25" t="s">
        <v>436</v>
      </c>
      <c r="D162" s="25" t="s">
        <v>437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1566</f>
        <v>1566</v>
      </c>
      <c r="L162" s="32" t="s">
        <v>1145</v>
      </c>
      <c r="M162" s="31">
        <f>1712</f>
        <v>1712</v>
      </c>
      <c r="N162" s="32" t="s">
        <v>1114</v>
      </c>
      <c r="O162" s="31">
        <f>1473</f>
        <v>1473</v>
      </c>
      <c r="P162" s="32" t="s">
        <v>674</v>
      </c>
      <c r="Q162" s="31">
        <f>1712</f>
        <v>1712</v>
      </c>
      <c r="R162" s="32" t="s">
        <v>1114</v>
      </c>
      <c r="S162" s="33">
        <f>1604</f>
        <v>1604</v>
      </c>
      <c r="T162" s="30">
        <f>68400</f>
        <v>68400</v>
      </c>
      <c r="U162" s="30" t="str">
        <f t="shared" si="2"/>
        <v>－</v>
      </c>
      <c r="V162" s="30">
        <f>109105615</f>
        <v>109105615</v>
      </c>
      <c r="W162" s="30" t="str">
        <f t="shared" si="3"/>
        <v>－</v>
      </c>
      <c r="X162" s="34">
        <f>20</f>
        <v>20</v>
      </c>
    </row>
    <row r="163" spans="1:24">
      <c r="A163" s="25" t="s">
        <v>1172</v>
      </c>
      <c r="B163" s="25" t="s">
        <v>438</v>
      </c>
      <c r="C163" s="25" t="s">
        <v>439</v>
      </c>
      <c r="D163" s="25" t="s">
        <v>440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</v>
      </c>
      <c r="K163" s="31">
        <f>8363</f>
        <v>8363</v>
      </c>
      <c r="L163" s="32" t="s">
        <v>1145</v>
      </c>
      <c r="M163" s="31">
        <f>9085</f>
        <v>9085</v>
      </c>
      <c r="N163" s="32" t="s">
        <v>1114</v>
      </c>
      <c r="O163" s="31">
        <f>7931</f>
        <v>7931</v>
      </c>
      <c r="P163" s="32" t="s">
        <v>674</v>
      </c>
      <c r="Q163" s="31">
        <f>9085</f>
        <v>9085</v>
      </c>
      <c r="R163" s="32" t="s">
        <v>1114</v>
      </c>
      <c r="S163" s="33">
        <f>8525.26</f>
        <v>8525.26</v>
      </c>
      <c r="T163" s="30">
        <f>1739</f>
        <v>1739</v>
      </c>
      <c r="U163" s="30" t="str">
        <f t="shared" si="2"/>
        <v>－</v>
      </c>
      <c r="V163" s="30">
        <f>14796288</f>
        <v>14796288</v>
      </c>
      <c r="W163" s="30" t="str">
        <f t="shared" si="3"/>
        <v>－</v>
      </c>
      <c r="X163" s="34">
        <f>19</f>
        <v>19</v>
      </c>
    </row>
    <row r="164" spans="1:24">
      <c r="A164" s="25" t="s">
        <v>1172</v>
      </c>
      <c r="B164" s="25" t="s">
        <v>441</v>
      </c>
      <c r="C164" s="25" t="s">
        <v>442</v>
      </c>
      <c r="D164" s="25" t="s">
        <v>443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100</v>
      </c>
      <c r="K164" s="31">
        <f>550.4</f>
        <v>550.4</v>
      </c>
      <c r="L164" s="32" t="s">
        <v>1145</v>
      </c>
      <c r="M164" s="31">
        <f>553.3</f>
        <v>553.29999999999995</v>
      </c>
      <c r="N164" s="32" t="s">
        <v>759</v>
      </c>
      <c r="O164" s="31">
        <f>513</f>
        <v>513</v>
      </c>
      <c r="P164" s="32" t="s">
        <v>680</v>
      </c>
      <c r="Q164" s="31">
        <f>529.9</f>
        <v>529.9</v>
      </c>
      <c r="R164" s="32" t="s">
        <v>1114</v>
      </c>
      <c r="S164" s="33">
        <f>528.67</f>
        <v>528.66999999999996</v>
      </c>
      <c r="T164" s="30">
        <f>116500</f>
        <v>116500</v>
      </c>
      <c r="U164" s="30" t="str">
        <f t="shared" si="2"/>
        <v>－</v>
      </c>
      <c r="V164" s="30">
        <f>61792840</f>
        <v>61792840</v>
      </c>
      <c r="W164" s="30" t="str">
        <f t="shared" si="3"/>
        <v>－</v>
      </c>
      <c r="X164" s="34">
        <f>20</f>
        <v>20</v>
      </c>
    </row>
    <row r="165" spans="1:24">
      <c r="A165" s="25" t="s">
        <v>1172</v>
      </c>
      <c r="B165" s="25" t="s">
        <v>444</v>
      </c>
      <c r="C165" s="25" t="s">
        <v>445</v>
      </c>
      <c r="D165" s="25" t="s">
        <v>446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10</v>
      </c>
      <c r="K165" s="31">
        <f>6570</f>
        <v>6570</v>
      </c>
      <c r="L165" s="32" t="s">
        <v>1145</v>
      </c>
      <c r="M165" s="31">
        <f>6574</f>
        <v>6574</v>
      </c>
      <c r="N165" s="32" t="s">
        <v>675</v>
      </c>
      <c r="O165" s="31">
        <f>6234</f>
        <v>6234</v>
      </c>
      <c r="P165" s="32" t="s">
        <v>682</v>
      </c>
      <c r="Q165" s="31">
        <f>6332</f>
        <v>6332</v>
      </c>
      <c r="R165" s="32" t="s">
        <v>1114</v>
      </c>
      <c r="S165" s="33">
        <f>6367.3</f>
        <v>6367.3</v>
      </c>
      <c r="T165" s="30">
        <f>109890</f>
        <v>109890</v>
      </c>
      <c r="U165" s="30" t="str">
        <f t="shared" si="2"/>
        <v>－</v>
      </c>
      <c r="V165" s="30">
        <f>700343660</f>
        <v>700343660</v>
      </c>
      <c r="W165" s="30" t="str">
        <f t="shared" si="3"/>
        <v>－</v>
      </c>
      <c r="X165" s="34">
        <f>20</f>
        <v>20</v>
      </c>
    </row>
    <row r="166" spans="1:24">
      <c r="A166" s="25" t="s">
        <v>1172</v>
      </c>
      <c r="B166" s="25" t="s">
        <v>447</v>
      </c>
      <c r="C166" s="25" t="s">
        <v>448</v>
      </c>
      <c r="D166" s="25" t="s">
        <v>449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2879.5</f>
        <v>2879.5</v>
      </c>
      <c r="L166" s="32" t="s">
        <v>1145</v>
      </c>
      <c r="M166" s="31">
        <f>2879.5</f>
        <v>2879.5</v>
      </c>
      <c r="N166" s="32" t="s">
        <v>1145</v>
      </c>
      <c r="O166" s="31">
        <f>2485.5</f>
        <v>2485.5</v>
      </c>
      <c r="P166" s="32" t="s">
        <v>680</v>
      </c>
      <c r="Q166" s="31">
        <f>2535.5</f>
        <v>2535.5</v>
      </c>
      <c r="R166" s="32" t="s">
        <v>1114</v>
      </c>
      <c r="S166" s="33">
        <f>2586.75</f>
        <v>2586.75</v>
      </c>
      <c r="T166" s="30">
        <f>27400</f>
        <v>27400</v>
      </c>
      <c r="U166" s="30" t="str">
        <f t="shared" si="2"/>
        <v>－</v>
      </c>
      <c r="V166" s="30">
        <f>71114490</f>
        <v>71114490</v>
      </c>
      <c r="W166" s="30" t="str">
        <f t="shared" si="3"/>
        <v>－</v>
      </c>
      <c r="X166" s="34">
        <f>20</f>
        <v>20</v>
      </c>
    </row>
    <row r="167" spans="1:24">
      <c r="A167" s="25" t="s">
        <v>1172</v>
      </c>
      <c r="B167" s="25" t="s">
        <v>450</v>
      </c>
      <c r="C167" s="25" t="s">
        <v>451</v>
      </c>
      <c r="D167" s="25" t="s">
        <v>452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</v>
      </c>
      <c r="K167" s="31">
        <f>4335</f>
        <v>4335</v>
      </c>
      <c r="L167" s="32" t="s">
        <v>1145</v>
      </c>
      <c r="M167" s="31">
        <f>4400</f>
        <v>4400</v>
      </c>
      <c r="N167" s="32" t="s">
        <v>1145</v>
      </c>
      <c r="O167" s="31">
        <f>3525</f>
        <v>3525</v>
      </c>
      <c r="P167" s="32" t="s">
        <v>676</v>
      </c>
      <c r="Q167" s="31">
        <f>3690</f>
        <v>3690</v>
      </c>
      <c r="R167" s="32" t="s">
        <v>1114</v>
      </c>
      <c r="S167" s="33">
        <f>3885.5</f>
        <v>3885.5</v>
      </c>
      <c r="T167" s="30">
        <f>237362</f>
        <v>237362</v>
      </c>
      <c r="U167" s="30" t="str">
        <f t="shared" si="2"/>
        <v>－</v>
      </c>
      <c r="V167" s="30">
        <f>910761755</f>
        <v>910761755</v>
      </c>
      <c r="W167" s="30" t="str">
        <f t="shared" si="3"/>
        <v>－</v>
      </c>
      <c r="X167" s="34">
        <f>20</f>
        <v>20</v>
      </c>
    </row>
    <row r="168" spans="1:24">
      <c r="A168" s="25" t="s">
        <v>1172</v>
      </c>
      <c r="B168" s="25" t="s">
        <v>453</v>
      </c>
      <c r="C168" s="25" t="s">
        <v>454</v>
      </c>
      <c r="D168" s="25" t="s">
        <v>455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</v>
      </c>
      <c r="K168" s="31">
        <f>3440</f>
        <v>3440</v>
      </c>
      <c r="L168" s="32" t="s">
        <v>1145</v>
      </c>
      <c r="M168" s="31">
        <f>3580</f>
        <v>3580</v>
      </c>
      <c r="N168" s="32" t="s">
        <v>1117</v>
      </c>
      <c r="O168" s="31">
        <f>3310</f>
        <v>3310</v>
      </c>
      <c r="P168" s="32" t="s">
        <v>1114</v>
      </c>
      <c r="Q168" s="31">
        <f>3330</f>
        <v>3330</v>
      </c>
      <c r="R168" s="32" t="s">
        <v>1114</v>
      </c>
      <c r="S168" s="33">
        <f>3434.5</f>
        <v>3434.5</v>
      </c>
      <c r="T168" s="30">
        <f>43553</f>
        <v>43553</v>
      </c>
      <c r="U168" s="30" t="str">
        <f t="shared" si="2"/>
        <v>－</v>
      </c>
      <c r="V168" s="30">
        <f>148421770</f>
        <v>148421770</v>
      </c>
      <c r="W168" s="30" t="str">
        <f t="shared" si="3"/>
        <v>－</v>
      </c>
      <c r="X168" s="34">
        <f>20</f>
        <v>20</v>
      </c>
    </row>
    <row r="169" spans="1:24">
      <c r="A169" s="25" t="s">
        <v>1172</v>
      </c>
      <c r="B169" s="25" t="s">
        <v>456</v>
      </c>
      <c r="C169" s="25" t="s">
        <v>457</v>
      </c>
      <c r="D169" s="25" t="s">
        <v>458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4532</f>
        <v>4532</v>
      </c>
      <c r="L169" s="32" t="s">
        <v>1145</v>
      </c>
      <c r="M169" s="31">
        <f>4532</f>
        <v>4532</v>
      </c>
      <c r="N169" s="32" t="s">
        <v>1145</v>
      </c>
      <c r="O169" s="31">
        <f>4353</f>
        <v>4353</v>
      </c>
      <c r="P169" s="32" t="s">
        <v>1112</v>
      </c>
      <c r="Q169" s="31">
        <f>4369</f>
        <v>4369</v>
      </c>
      <c r="R169" s="32" t="s">
        <v>1114</v>
      </c>
      <c r="S169" s="33">
        <f>4422.4</f>
        <v>4422.3999999999996</v>
      </c>
      <c r="T169" s="30">
        <f>12500</f>
        <v>12500</v>
      </c>
      <c r="U169" s="30" t="str">
        <f t="shared" si="2"/>
        <v>－</v>
      </c>
      <c r="V169" s="30">
        <f>55345240</f>
        <v>55345240</v>
      </c>
      <c r="W169" s="30" t="str">
        <f t="shared" si="3"/>
        <v>－</v>
      </c>
      <c r="X169" s="34">
        <f>20</f>
        <v>20</v>
      </c>
    </row>
    <row r="170" spans="1:24">
      <c r="A170" s="25" t="s">
        <v>1172</v>
      </c>
      <c r="B170" s="25" t="s">
        <v>459</v>
      </c>
      <c r="C170" s="25" t="s">
        <v>460</v>
      </c>
      <c r="D170" s="25" t="s">
        <v>979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3114</f>
        <v>3114</v>
      </c>
      <c r="L170" s="32" t="s">
        <v>1145</v>
      </c>
      <c r="M170" s="31">
        <f>3149</f>
        <v>3149</v>
      </c>
      <c r="N170" s="32" t="s">
        <v>1145</v>
      </c>
      <c r="O170" s="31">
        <f>2970</f>
        <v>2970</v>
      </c>
      <c r="P170" s="32" t="s">
        <v>1118</v>
      </c>
      <c r="Q170" s="31">
        <f>3078</f>
        <v>3078</v>
      </c>
      <c r="R170" s="32" t="s">
        <v>1114</v>
      </c>
      <c r="S170" s="33">
        <f>3049.5</f>
        <v>3049.5</v>
      </c>
      <c r="T170" s="30">
        <f>177980</f>
        <v>177980</v>
      </c>
      <c r="U170" s="30">
        <f>55440</f>
        <v>55440</v>
      </c>
      <c r="V170" s="30">
        <f>545707215</f>
        <v>545707215</v>
      </c>
      <c r="W170" s="30">
        <f>172287530</f>
        <v>172287530</v>
      </c>
      <c r="X170" s="34">
        <f>20</f>
        <v>20</v>
      </c>
    </row>
    <row r="171" spans="1:24">
      <c r="A171" s="25" t="s">
        <v>1172</v>
      </c>
      <c r="B171" s="25" t="s">
        <v>461</v>
      </c>
      <c r="C171" s="25" t="s">
        <v>980</v>
      </c>
      <c r="D171" s="25" t="s">
        <v>981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432.8</f>
        <v>432.8</v>
      </c>
      <c r="L171" s="32" t="s">
        <v>1145</v>
      </c>
      <c r="M171" s="31">
        <f>471.9</f>
        <v>471.9</v>
      </c>
      <c r="N171" s="32" t="s">
        <v>1114</v>
      </c>
      <c r="O171" s="31">
        <f>407.5</f>
        <v>407.5</v>
      </c>
      <c r="P171" s="32" t="s">
        <v>674</v>
      </c>
      <c r="Q171" s="31">
        <f>471.9</f>
        <v>471.9</v>
      </c>
      <c r="R171" s="32" t="s">
        <v>1114</v>
      </c>
      <c r="S171" s="33">
        <f>443.57</f>
        <v>443.57</v>
      </c>
      <c r="T171" s="30">
        <f>23460880</f>
        <v>23460880</v>
      </c>
      <c r="U171" s="30">
        <f>10430920</f>
        <v>10430920</v>
      </c>
      <c r="V171" s="30">
        <f>10162109985</f>
        <v>10162109985</v>
      </c>
      <c r="W171" s="30">
        <f>4410790031</f>
        <v>4410790031</v>
      </c>
      <c r="X171" s="34">
        <f>20</f>
        <v>20</v>
      </c>
    </row>
    <row r="172" spans="1:24">
      <c r="A172" s="25" t="s">
        <v>1172</v>
      </c>
      <c r="B172" s="25" t="s">
        <v>1132</v>
      </c>
      <c r="C172" s="25" t="s">
        <v>1131</v>
      </c>
      <c r="D172" s="25" t="s">
        <v>1130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</v>
      </c>
      <c r="K172" s="31">
        <f>2014</f>
        <v>2014</v>
      </c>
      <c r="L172" s="32" t="s">
        <v>1145</v>
      </c>
      <c r="M172" s="31">
        <f>2051</f>
        <v>2051</v>
      </c>
      <c r="N172" s="32" t="s">
        <v>1114</v>
      </c>
      <c r="O172" s="31">
        <f>1948</f>
        <v>1948</v>
      </c>
      <c r="P172" s="32" t="s">
        <v>682</v>
      </c>
      <c r="Q172" s="31">
        <f>2040</f>
        <v>2040</v>
      </c>
      <c r="R172" s="32" t="s">
        <v>1114</v>
      </c>
      <c r="S172" s="33">
        <f>1997.25</f>
        <v>1997.25</v>
      </c>
      <c r="T172" s="30">
        <f>13210</f>
        <v>13210</v>
      </c>
      <c r="U172" s="30" t="str">
        <f>"－"</f>
        <v>－</v>
      </c>
      <c r="V172" s="30">
        <f>26450893</f>
        <v>26450893</v>
      </c>
      <c r="W172" s="30" t="str">
        <f>"－"</f>
        <v>－</v>
      </c>
      <c r="X172" s="34">
        <f>20</f>
        <v>20</v>
      </c>
    </row>
    <row r="173" spans="1:24">
      <c r="A173" s="25" t="s">
        <v>1172</v>
      </c>
      <c r="B173" s="25" t="s">
        <v>1147</v>
      </c>
      <c r="C173" s="25" t="s">
        <v>1148</v>
      </c>
      <c r="D173" s="25" t="s">
        <v>1149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</v>
      </c>
      <c r="K173" s="31">
        <f>1050</f>
        <v>1050</v>
      </c>
      <c r="L173" s="32" t="s">
        <v>1145</v>
      </c>
      <c r="M173" s="31">
        <f>1192</f>
        <v>1192</v>
      </c>
      <c r="N173" s="32" t="s">
        <v>1114</v>
      </c>
      <c r="O173" s="31">
        <f>1045</f>
        <v>1045</v>
      </c>
      <c r="P173" s="32" t="s">
        <v>1145</v>
      </c>
      <c r="Q173" s="31">
        <f>1191</f>
        <v>1191</v>
      </c>
      <c r="R173" s="32" t="s">
        <v>1114</v>
      </c>
      <c r="S173" s="33">
        <f>1128.9</f>
        <v>1128.9000000000001</v>
      </c>
      <c r="T173" s="30">
        <f>2936699</f>
        <v>2936699</v>
      </c>
      <c r="U173" s="30">
        <f>250492</f>
        <v>250492</v>
      </c>
      <c r="V173" s="30">
        <f>3323699239</f>
        <v>3323699239</v>
      </c>
      <c r="W173" s="30">
        <f>264581448</f>
        <v>264581448</v>
      </c>
      <c r="X173" s="34">
        <f>20</f>
        <v>20</v>
      </c>
    </row>
    <row r="174" spans="1:24">
      <c r="A174" s="25" t="s">
        <v>1172</v>
      </c>
      <c r="B174" s="25" t="s">
        <v>1151</v>
      </c>
      <c r="C174" s="25" t="s">
        <v>1152</v>
      </c>
      <c r="D174" s="25" t="s">
        <v>1153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291.7</f>
        <v>291.7</v>
      </c>
      <c r="L174" s="32" t="s">
        <v>1145</v>
      </c>
      <c r="M174" s="31">
        <f>307.7</f>
        <v>307.7</v>
      </c>
      <c r="N174" s="32" t="s">
        <v>676</v>
      </c>
      <c r="O174" s="31">
        <f>291</f>
        <v>291</v>
      </c>
      <c r="P174" s="32" t="s">
        <v>1145</v>
      </c>
      <c r="Q174" s="31">
        <f>300.3</f>
        <v>300.3</v>
      </c>
      <c r="R174" s="32" t="s">
        <v>1114</v>
      </c>
      <c r="S174" s="33">
        <f>300.8</f>
        <v>300.8</v>
      </c>
      <c r="T174" s="30">
        <f>3494550</f>
        <v>3494550</v>
      </c>
      <c r="U174" s="30">
        <f>1700000</f>
        <v>1700000</v>
      </c>
      <c r="V174" s="30">
        <f>1046998004</f>
        <v>1046998004</v>
      </c>
      <c r="W174" s="30">
        <f>505843400</f>
        <v>505843400</v>
      </c>
      <c r="X174" s="34">
        <f>20</f>
        <v>20</v>
      </c>
    </row>
    <row r="175" spans="1:24">
      <c r="A175" s="25" t="s">
        <v>1172</v>
      </c>
      <c r="B175" s="25" t="s">
        <v>1154</v>
      </c>
      <c r="C175" s="25" t="s">
        <v>1155</v>
      </c>
      <c r="D175" s="25" t="s">
        <v>1156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304.2</f>
        <v>304.2</v>
      </c>
      <c r="L175" s="32" t="s">
        <v>1145</v>
      </c>
      <c r="M175" s="31">
        <f>328</f>
        <v>328</v>
      </c>
      <c r="N175" s="32" t="s">
        <v>679</v>
      </c>
      <c r="O175" s="31">
        <f>304</f>
        <v>304</v>
      </c>
      <c r="P175" s="32" t="s">
        <v>1145</v>
      </c>
      <c r="Q175" s="31">
        <f>322.7</f>
        <v>322.7</v>
      </c>
      <c r="R175" s="32" t="s">
        <v>1114</v>
      </c>
      <c r="S175" s="33">
        <f>316.88</f>
        <v>316.88</v>
      </c>
      <c r="T175" s="30">
        <f>1988430</f>
        <v>1988430</v>
      </c>
      <c r="U175" s="30">
        <f>10100</f>
        <v>10100</v>
      </c>
      <c r="V175" s="30">
        <f>631912005</f>
        <v>631912005</v>
      </c>
      <c r="W175" s="30">
        <f>3253510</f>
        <v>3253510</v>
      </c>
      <c r="X175" s="34">
        <f>20</f>
        <v>20</v>
      </c>
    </row>
    <row r="176" spans="1:24">
      <c r="A176" s="25" t="s">
        <v>1172</v>
      </c>
      <c r="B176" s="25" t="s">
        <v>1157</v>
      </c>
      <c r="C176" s="25" t="s">
        <v>1158</v>
      </c>
      <c r="D176" s="25" t="s">
        <v>1159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10</v>
      </c>
      <c r="K176" s="31">
        <f>529.1</f>
        <v>529.1</v>
      </c>
      <c r="L176" s="32" t="s">
        <v>1145</v>
      </c>
      <c r="M176" s="31">
        <f>529.1</f>
        <v>529.1</v>
      </c>
      <c r="N176" s="32" t="s">
        <v>1145</v>
      </c>
      <c r="O176" s="31">
        <f>503.6</f>
        <v>503.6</v>
      </c>
      <c r="P176" s="32" t="s">
        <v>759</v>
      </c>
      <c r="Q176" s="31">
        <f>518.8</f>
        <v>518.79999999999995</v>
      </c>
      <c r="R176" s="32" t="s">
        <v>1111</v>
      </c>
      <c r="S176" s="33">
        <f>511.16</f>
        <v>511.16</v>
      </c>
      <c r="T176" s="30">
        <f>3350</f>
        <v>3350</v>
      </c>
      <c r="U176" s="30" t="str">
        <f>"－"</f>
        <v>－</v>
      </c>
      <c r="V176" s="30">
        <f>1699913</f>
        <v>1699913</v>
      </c>
      <c r="W176" s="30" t="str">
        <f>"－"</f>
        <v>－</v>
      </c>
      <c r="X176" s="34">
        <f>14</f>
        <v>14</v>
      </c>
    </row>
    <row r="177" spans="1:24">
      <c r="A177" s="25" t="s">
        <v>1172</v>
      </c>
      <c r="B177" s="25" t="s">
        <v>1161</v>
      </c>
      <c r="C177" s="25" t="s">
        <v>1162</v>
      </c>
      <c r="D177" s="25" t="s">
        <v>1163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10</v>
      </c>
      <c r="K177" s="31">
        <f>536.6</f>
        <v>536.6</v>
      </c>
      <c r="L177" s="32" t="s">
        <v>1145</v>
      </c>
      <c r="M177" s="31">
        <f>557.4</f>
        <v>557.4</v>
      </c>
      <c r="N177" s="32" t="s">
        <v>1114</v>
      </c>
      <c r="O177" s="31">
        <f>516.6</f>
        <v>516.6</v>
      </c>
      <c r="P177" s="32" t="s">
        <v>759</v>
      </c>
      <c r="Q177" s="31">
        <f>553.3</f>
        <v>553.29999999999995</v>
      </c>
      <c r="R177" s="32" t="s">
        <v>1114</v>
      </c>
      <c r="S177" s="33">
        <f>540.21</f>
        <v>540.21</v>
      </c>
      <c r="T177" s="30">
        <f>60530</f>
        <v>60530</v>
      </c>
      <c r="U177" s="30" t="str">
        <f>"－"</f>
        <v>－</v>
      </c>
      <c r="V177" s="30">
        <f>32687634</f>
        <v>32687634</v>
      </c>
      <c r="W177" s="30" t="str">
        <f>"－"</f>
        <v>－</v>
      </c>
      <c r="X177" s="34">
        <f>20</f>
        <v>20</v>
      </c>
    </row>
    <row r="178" spans="1:24">
      <c r="A178" s="25" t="s">
        <v>1172</v>
      </c>
      <c r="B178" s="25" t="s">
        <v>1164</v>
      </c>
      <c r="C178" s="25" t="s">
        <v>1165</v>
      </c>
      <c r="D178" s="25" t="s">
        <v>1166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604</f>
        <v>604</v>
      </c>
      <c r="L178" s="32" t="s">
        <v>1145</v>
      </c>
      <c r="M178" s="31">
        <f>604</f>
        <v>604</v>
      </c>
      <c r="N178" s="32" t="s">
        <v>1145</v>
      </c>
      <c r="O178" s="31">
        <f>514.3</f>
        <v>514.29999999999995</v>
      </c>
      <c r="P178" s="32" t="s">
        <v>1145</v>
      </c>
      <c r="Q178" s="31">
        <f>524.3</f>
        <v>524.29999999999995</v>
      </c>
      <c r="R178" s="32" t="s">
        <v>1111</v>
      </c>
      <c r="S178" s="33">
        <f>526.33</f>
        <v>526.33000000000004</v>
      </c>
      <c r="T178" s="30">
        <f>11040</f>
        <v>11040</v>
      </c>
      <c r="U178" s="30" t="str">
        <f>"－"</f>
        <v>－</v>
      </c>
      <c r="V178" s="30">
        <f>5844895</f>
        <v>5844895</v>
      </c>
      <c r="W178" s="30" t="str">
        <f>"－"</f>
        <v>－</v>
      </c>
      <c r="X178" s="34">
        <f>17</f>
        <v>17</v>
      </c>
    </row>
    <row r="179" spans="1:24">
      <c r="A179" s="25" t="s">
        <v>1172</v>
      </c>
      <c r="B179" s="25" t="s">
        <v>1168</v>
      </c>
      <c r="C179" s="25" t="s">
        <v>1169</v>
      </c>
      <c r="D179" s="25" t="s">
        <v>1170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</v>
      </c>
      <c r="K179" s="31">
        <f>1031</f>
        <v>1031</v>
      </c>
      <c r="L179" s="32" t="s">
        <v>1145</v>
      </c>
      <c r="M179" s="31">
        <f>1069</f>
        <v>1069</v>
      </c>
      <c r="N179" s="32" t="s">
        <v>1114</v>
      </c>
      <c r="O179" s="31">
        <f>983</f>
        <v>983</v>
      </c>
      <c r="P179" s="32" t="s">
        <v>1124</v>
      </c>
      <c r="Q179" s="31">
        <f>1062</f>
        <v>1062</v>
      </c>
      <c r="R179" s="32" t="s">
        <v>1114</v>
      </c>
      <c r="S179" s="33">
        <f>1018</f>
        <v>1018</v>
      </c>
      <c r="T179" s="30">
        <f>2686176</f>
        <v>2686176</v>
      </c>
      <c r="U179" s="30">
        <f>99845</f>
        <v>99845</v>
      </c>
      <c r="V179" s="30">
        <f>2728397874</f>
        <v>2728397874</v>
      </c>
      <c r="W179" s="30">
        <f>100934159</f>
        <v>100934159</v>
      </c>
      <c r="X179" s="34">
        <f>20</f>
        <v>20</v>
      </c>
    </row>
    <row r="180" spans="1:24">
      <c r="A180" s="25" t="s">
        <v>1172</v>
      </c>
      <c r="B180" s="25" t="s">
        <v>1173</v>
      </c>
      <c r="C180" s="25" t="s">
        <v>1174</v>
      </c>
      <c r="D180" s="25" t="s">
        <v>1175</v>
      </c>
      <c r="E180" s="26" t="s">
        <v>672</v>
      </c>
      <c r="F180" s="27" t="s">
        <v>673</v>
      </c>
      <c r="G180" s="28" t="s">
        <v>1176</v>
      </c>
      <c r="H180" s="29"/>
      <c r="I180" s="29" t="s">
        <v>44</v>
      </c>
      <c r="J180" s="30">
        <v>1</v>
      </c>
      <c r="K180" s="31">
        <f>1993</f>
        <v>1993</v>
      </c>
      <c r="L180" s="32" t="s">
        <v>675</v>
      </c>
      <c r="M180" s="31">
        <f>2071</f>
        <v>2071</v>
      </c>
      <c r="N180" s="32" t="s">
        <v>1117</v>
      </c>
      <c r="O180" s="31">
        <f>1935</f>
        <v>1935</v>
      </c>
      <c r="P180" s="32" t="s">
        <v>674</v>
      </c>
      <c r="Q180" s="31">
        <f>2047</f>
        <v>2047</v>
      </c>
      <c r="R180" s="32" t="s">
        <v>1114</v>
      </c>
      <c r="S180" s="33">
        <f>2016</f>
        <v>2016</v>
      </c>
      <c r="T180" s="30">
        <f>7636819</f>
        <v>7636819</v>
      </c>
      <c r="U180" s="30">
        <f>2408845</f>
        <v>2408845</v>
      </c>
      <c r="V180" s="30">
        <f>15261252357</f>
        <v>15261252357</v>
      </c>
      <c r="W180" s="30">
        <f>4795014998</f>
        <v>4795014998</v>
      </c>
      <c r="X180" s="34">
        <f>19</f>
        <v>19</v>
      </c>
    </row>
    <row r="181" spans="1:24">
      <c r="A181" s="25" t="s">
        <v>1172</v>
      </c>
      <c r="B181" s="25" t="s">
        <v>1054</v>
      </c>
      <c r="C181" s="25" t="s">
        <v>1055</v>
      </c>
      <c r="D181" s="25" t="s">
        <v>1056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574.8</f>
        <v>574.79999999999995</v>
      </c>
      <c r="L181" s="32" t="s">
        <v>1145</v>
      </c>
      <c r="M181" s="31">
        <f>582</f>
        <v>582</v>
      </c>
      <c r="N181" s="32" t="s">
        <v>1114</v>
      </c>
      <c r="O181" s="31">
        <f>555.1</f>
        <v>555.1</v>
      </c>
      <c r="P181" s="32" t="s">
        <v>1117</v>
      </c>
      <c r="Q181" s="31">
        <f>581</f>
        <v>581</v>
      </c>
      <c r="R181" s="32" t="s">
        <v>1114</v>
      </c>
      <c r="S181" s="33">
        <f>567.72</f>
        <v>567.72</v>
      </c>
      <c r="T181" s="30">
        <f>1038450</f>
        <v>1038450</v>
      </c>
      <c r="U181" s="30">
        <f>681800</f>
        <v>681800</v>
      </c>
      <c r="V181" s="30">
        <f>586786600</f>
        <v>586786600</v>
      </c>
      <c r="W181" s="30">
        <f>383926611</f>
        <v>383926611</v>
      </c>
      <c r="X181" s="34">
        <f>20</f>
        <v>20</v>
      </c>
    </row>
    <row r="182" spans="1:24">
      <c r="A182" s="25" t="s">
        <v>1172</v>
      </c>
      <c r="B182" s="25" t="s">
        <v>1083</v>
      </c>
      <c r="C182" s="25" t="s">
        <v>1084</v>
      </c>
      <c r="D182" s="25" t="s">
        <v>1085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10</v>
      </c>
      <c r="K182" s="31">
        <f>217.5</f>
        <v>217.5</v>
      </c>
      <c r="L182" s="32" t="s">
        <v>1145</v>
      </c>
      <c r="M182" s="31">
        <f>224.7</f>
        <v>224.7</v>
      </c>
      <c r="N182" s="32" t="s">
        <v>1114</v>
      </c>
      <c r="O182" s="31">
        <f>214.6</f>
        <v>214.6</v>
      </c>
      <c r="P182" s="32" t="s">
        <v>674</v>
      </c>
      <c r="Q182" s="31">
        <f>224.6</f>
        <v>224.6</v>
      </c>
      <c r="R182" s="32" t="s">
        <v>1114</v>
      </c>
      <c r="S182" s="33">
        <f>219.57</f>
        <v>219.57</v>
      </c>
      <c r="T182" s="30">
        <f>49220950</f>
        <v>49220950</v>
      </c>
      <c r="U182" s="30">
        <f>35928540</f>
        <v>35928540</v>
      </c>
      <c r="V182" s="30">
        <f>10812944354</f>
        <v>10812944354</v>
      </c>
      <c r="W182" s="30">
        <f>7866030877</f>
        <v>7866030877</v>
      </c>
      <c r="X182" s="34">
        <f>20</f>
        <v>20</v>
      </c>
    </row>
    <row r="183" spans="1:24">
      <c r="A183" s="25" t="s">
        <v>1172</v>
      </c>
      <c r="B183" s="25" t="s">
        <v>1087</v>
      </c>
      <c r="C183" s="25" t="s">
        <v>1088</v>
      </c>
      <c r="D183" s="25" t="s">
        <v>1089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10</v>
      </c>
      <c r="K183" s="31">
        <f>231</f>
        <v>231</v>
      </c>
      <c r="L183" s="32" t="s">
        <v>1145</v>
      </c>
      <c r="M183" s="31">
        <f>235.3</f>
        <v>235.3</v>
      </c>
      <c r="N183" s="32" t="s">
        <v>679</v>
      </c>
      <c r="O183" s="31">
        <f>225.1</f>
        <v>225.1</v>
      </c>
      <c r="P183" s="32" t="s">
        <v>682</v>
      </c>
      <c r="Q183" s="31">
        <f>234.6</f>
        <v>234.6</v>
      </c>
      <c r="R183" s="32" t="s">
        <v>1114</v>
      </c>
      <c r="S183" s="33">
        <f>229.51</f>
        <v>229.51</v>
      </c>
      <c r="T183" s="30">
        <f>1920740</f>
        <v>1920740</v>
      </c>
      <c r="U183" s="30">
        <f>10</f>
        <v>10</v>
      </c>
      <c r="V183" s="30">
        <f>440669238</f>
        <v>440669238</v>
      </c>
      <c r="W183" s="30">
        <f>2314</f>
        <v>2314</v>
      </c>
      <c r="X183" s="34">
        <f>20</f>
        <v>20</v>
      </c>
    </row>
    <row r="184" spans="1:24">
      <c r="A184" s="25" t="s">
        <v>1172</v>
      </c>
      <c r="B184" s="25" t="s">
        <v>1090</v>
      </c>
      <c r="C184" s="25" t="s">
        <v>1091</v>
      </c>
      <c r="D184" s="25" t="s">
        <v>1092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10</v>
      </c>
      <c r="K184" s="31">
        <f>231.4</f>
        <v>231.4</v>
      </c>
      <c r="L184" s="32" t="s">
        <v>1145</v>
      </c>
      <c r="M184" s="31">
        <f>238</f>
        <v>238</v>
      </c>
      <c r="N184" s="32" t="s">
        <v>679</v>
      </c>
      <c r="O184" s="31">
        <f>226.3</f>
        <v>226.3</v>
      </c>
      <c r="P184" s="32" t="s">
        <v>674</v>
      </c>
      <c r="Q184" s="31">
        <f>237.6</f>
        <v>237.6</v>
      </c>
      <c r="R184" s="32" t="s">
        <v>1114</v>
      </c>
      <c r="S184" s="33">
        <f>232.33</f>
        <v>232.33</v>
      </c>
      <c r="T184" s="30">
        <f>3570140</f>
        <v>3570140</v>
      </c>
      <c r="U184" s="30">
        <f>1110</f>
        <v>1110</v>
      </c>
      <c r="V184" s="30">
        <f>831784864</f>
        <v>831784864</v>
      </c>
      <c r="W184" s="30">
        <f>260255</f>
        <v>260255</v>
      </c>
      <c r="X184" s="34">
        <f>20</f>
        <v>20</v>
      </c>
    </row>
    <row r="185" spans="1:24">
      <c r="A185" s="25" t="s">
        <v>1172</v>
      </c>
      <c r="B185" s="25" t="s">
        <v>1093</v>
      </c>
      <c r="C185" s="25" t="s">
        <v>1094</v>
      </c>
      <c r="D185" s="25" t="s">
        <v>1095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2071</f>
        <v>2071</v>
      </c>
      <c r="L185" s="32" t="s">
        <v>1145</v>
      </c>
      <c r="M185" s="31">
        <f>2167</f>
        <v>2167</v>
      </c>
      <c r="N185" s="32" t="s">
        <v>1114</v>
      </c>
      <c r="O185" s="31">
        <f>2071</f>
        <v>2071</v>
      </c>
      <c r="P185" s="32" t="s">
        <v>1145</v>
      </c>
      <c r="Q185" s="31">
        <f>2166</f>
        <v>2166</v>
      </c>
      <c r="R185" s="32" t="s">
        <v>1114</v>
      </c>
      <c r="S185" s="33">
        <f>2118.65</f>
        <v>2118.65</v>
      </c>
      <c r="T185" s="30">
        <f>39238</f>
        <v>39238</v>
      </c>
      <c r="U185" s="30" t="str">
        <f>"－"</f>
        <v>－</v>
      </c>
      <c r="V185" s="30">
        <f>83413195</f>
        <v>83413195</v>
      </c>
      <c r="W185" s="30" t="str">
        <f>"－"</f>
        <v>－</v>
      </c>
      <c r="X185" s="34">
        <f>20</f>
        <v>20</v>
      </c>
    </row>
    <row r="186" spans="1:24">
      <c r="A186" s="25" t="s">
        <v>1172</v>
      </c>
      <c r="B186" s="25" t="s">
        <v>1096</v>
      </c>
      <c r="C186" s="25" t="s">
        <v>1097</v>
      </c>
      <c r="D186" s="25" t="s">
        <v>1098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1917</f>
        <v>1917</v>
      </c>
      <c r="L186" s="32" t="s">
        <v>1145</v>
      </c>
      <c r="M186" s="31">
        <f>1952</f>
        <v>1952</v>
      </c>
      <c r="N186" s="32" t="s">
        <v>679</v>
      </c>
      <c r="O186" s="31">
        <f>1913</f>
        <v>1913</v>
      </c>
      <c r="P186" s="32" t="s">
        <v>1145</v>
      </c>
      <c r="Q186" s="31">
        <f>1937</f>
        <v>1937</v>
      </c>
      <c r="R186" s="32" t="s">
        <v>1114</v>
      </c>
      <c r="S186" s="33">
        <f>1936.95</f>
        <v>1936.95</v>
      </c>
      <c r="T186" s="30">
        <f>126573</f>
        <v>126573</v>
      </c>
      <c r="U186" s="30" t="str">
        <f>"－"</f>
        <v>－</v>
      </c>
      <c r="V186" s="30">
        <f>245391106</f>
        <v>245391106</v>
      </c>
      <c r="W186" s="30" t="str">
        <f>"－"</f>
        <v>－</v>
      </c>
      <c r="X186" s="34">
        <f>20</f>
        <v>20</v>
      </c>
    </row>
    <row r="187" spans="1:24">
      <c r="A187" s="25" t="s">
        <v>1172</v>
      </c>
      <c r="B187" s="25" t="s">
        <v>1099</v>
      </c>
      <c r="C187" s="25" t="s">
        <v>1100</v>
      </c>
      <c r="D187" s="25" t="s">
        <v>1101</v>
      </c>
      <c r="E187" s="26" t="s">
        <v>43</v>
      </c>
      <c r="F187" s="27" t="s">
        <v>43</v>
      </c>
      <c r="G187" s="28" t="s">
        <v>43</v>
      </c>
      <c r="H187" s="29"/>
      <c r="I187" s="29" t="s">
        <v>44</v>
      </c>
      <c r="J187" s="30">
        <v>1</v>
      </c>
      <c r="K187" s="31">
        <f>1080</f>
        <v>1080</v>
      </c>
      <c r="L187" s="32" t="s">
        <v>1145</v>
      </c>
      <c r="M187" s="31">
        <f>1100</f>
        <v>1100</v>
      </c>
      <c r="N187" s="32" t="s">
        <v>1114</v>
      </c>
      <c r="O187" s="31">
        <f>1054</f>
        <v>1054</v>
      </c>
      <c r="P187" s="32" t="s">
        <v>682</v>
      </c>
      <c r="Q187" s="31">
        <f>1096</f>
        <v>1096</v>
      </c>
      <c r="R187" s="32" t="s">
        <v>1114</v>
      </c>
      <c r="S187" s="33">
        <f>1076.75</f>
        <v>1076.75</v>
      </c>
      <c r="T187" s="30">
        <f>2655783</f>
        <v>2655783</v>
      </c>
      <c r="U187" s="30">
        <f>260430</f>
        <v>260430</v>
      </c>
      <c r="V187" s="30">
        <f>2856039364</f>
        <v>2856039364</v>
      </c>
      <c r="W187" s="30">
        <f>282818950</f>
        <v>282818950</v>
      </c>
      <c r="X187" s="34">
        <f>20</f>
        <v>20</v>
      </c>
    </row>
    <row r="188" spans="1:24">
      <c r="A188" s="25" t="s">
        <v>1172</v>
      </c>
      <c r="B188" s="25" t="s">
        <v>1103</v>
      </c>
      <c r="C188" s="25" t="s">
        <v>1104</v>
      </c>
      <c r="D188" s="25" t="s">
        <v>1105</v>
      </c>
      <c r="E188" s="26" t="s">
        <v>43</v>
      </c>
      <c r="F188" s="27" t="s">
        <v>43</v>
      </c>
      <c r="G188" s="28" t="s">
        <v>43</v>
      </c>
      <c r="H188" s="29"/>
      <c r="I188" s="29" t="s">
        <v>44</v>
      </c>
      <c r="J188" s="30">
        <v>1</v>
      </c>
      <c r="K188" s="31">
        <f>1042</f>
        <v>1042</v>
      </c>
      <c r="L188" s="32" t="s">
        <v>1145</v>
      </c>
      <c r="M188" s="31">
        <f>1095</f>
        <v>1095</v>
      </c>
      <c r="N188" s="32" t="s">
        <v>683</v>
      </c>
      <c r="O188" s="31">
        <f>1033</f>
        <v>1033</v>
      </c>
      <c r="P188" s="32" t="s">
        <v>675</v>
      </c>
      <c r="Q188" s="31">
        <f>1092</f>
        <v>1092</v>
      </c>
      <c r="R188" s="32" t="s">
        <v>1114</v>
      </c>
      <c r="S188" s="33">
        <f>1066.8</f>
        <v>1066.8</v>
      </c>
      <c r="T188" s="30">
        <f>53318</f>
        <v>53318</v>
      </c>
      <c r="U188" s="30">
        <f>100</f>
        <v>100</v>
      </c>
      <c r="V188" s="30">
        <f>57294905</f>
        <v>57294905</v>
      </c>
      <c r="W188" s="30">
        <f>114500</f>
        <v>114500</v>
      </c>
      <c r="X188" s="34">
        <f>20</f>
        <v>20</v>
      </c>
    </row>
    <row r="189" spans="1:24">
      <c r="A189" s="25" t="s">
        <v>1172</v>
      </c>
      <c r="B189" s="25" t="s">
        <v>1106</v>
      </c>
      <c r="C189" s="25" t="s">
        <v>1107</v>
      </c>
      <c r="D189" s="25" t="s">
        <v>1108</v>
      </c>
      <c r="E189" s="26" t="s">
        <v>43</v>
      </c>
      <c r="F189" s="27" t="s">
        <v>43</v>
      </c>
      <c r="G189" s="28" t="s">
        <v>43</v>
      </c>
      <c r="H189" s="29"/>
      <c r="I189" s="29" t="s">
        <v>44</v>
      </c>
      <c r="J189" s="30">
        <v>1</v>
      </c>
      <c r="K189" s="31">
        <f>1058</f>
        <v>1058</v>
      </c>
      <c r="L189" s="32" t="s">
        <v>1145</v>
      </c>
      <c r="M189" s="31">
        <f>1096</f>
        <v>1096</v>
      </c>
      <c r="N189" s="32" t="s">
        <v>1114</v>
      </c>
      <c r="O189" s="31">
        <f>1048</f>
        <v>1048</v>
      </c>
      <c r="P189" s="32" t="s">
        <v>759</v>
      </c>
      <c r="Q189" s="31">
        <f>1095</f>
        <v>1095</v>
      </c>
      <c r="R189" s="32" t="s">
        <v>1114</v>
      </c>
      <c r="S189" s="33">
        <f>1067.4</f>
        <v>1067.4000000000001</v>
      </c>
      <c r="T189" s="30">
        <f>37118</f>
        <v>37118</v>
      </c>
      <c r="U189" s="30" t="str">
        <f>"－"</f>
        <v>－</v>
      </c>
      <c r="V189" s="30">
        <f>39647370</f>
        <v>39647370</v>
      </c>
      <c r="W189" s="30" t="str">
        <f>"－"</f>
        <v>－</v>
      </c>
      <c r="X189" s="34">
        <f>20</f>
        <v>20</v>
      </c>
    </row>
    <row r="190" spans="1:24">
      <c r="A190" s="25" t="s">
        <v>1172</v>
      </c>
      <c r="B190" s="25" t="s">
        <v>1177</v>
      </c>
      <c r="C190" s="25" t="s">
        <v>1178</v>
      </c>
      <c r="D190" s="25" t="s">
        <v>1179</v>
      </c>
      <c r="E190" s="26" t="s">
        <v>672</v>
      </c>
      <c r="F190" s="27" t="s">
        <v>673</v>
      </c>
      <c r="G190" s="28" t="s">
        <v>1180</v>
      </c>
      <c r="H190" s="29"/>
      <c r="I190" s="29" t="s">
        <v>44</v>
      </c>
      <c r="J190" s="30">
        <v>10</v>
      </c>
      <c r="K190" s="31">
        <f>202.3</f>
        <v>202.3</v>
      </c>
      <c r="L190" s="32" t="s">
        <v>677</v>
      </c>
      <c r="M190" s="31">
        <f>217.8</f>
        <v>217.8</v>
      </c>
      <c r="N190" s="32" t="s">
        <v>1114</v>
      </c>
      <c r="O190" s="31">
        <f>200.9</f>
        <v>200.9</v>
      </c>
      <c r="P190" s="32" t="s">
        <v>677</v>
      </c>
      <c r="Q190" s="31">
        <f>217.6</f>
        <v>217.6</v>
      </c>
      <c r="R190" s="32" t="s">
        <v>1114</v>
      </c>
      <c r="S190" s="33">
        <f>208.78</f>
        <v>208.78</v>
      </c>
      <c r="T190" s="30">
        <f>16408940</f>
        <v>16408940</v>
      </c>
      <c r="U190" s="30">
        <f>143040</f>
        <v>143040</v>
      </c>
      <c r="V190" s="30">
        <f>3407783809</f>
        <v>3407783809</v>
      </c>
      <c r="W190" s="30">
        <f>28140728</f>
        <v>28140728</v>
      </c>
      <c r="X190" s="34">
        <f>13</f>
        <v>13</v>
      </c>
    </row>
    <row r="191" spans="1:24">
      <c r="A191" s="25" t="s">
        <v>1172</v>
      </c>
      <c r="B191" s="25" t="s">
        <v>462</v>
      </c>
      <c r="C191" s="25" t="s">
        <v>463</v>
      </c>
      <c r="D191" s="25" t="s">
        <v>464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5020</f>
        <v>5020</v>
      </c>
      <c r="L191" s="32" t="s">
        <v>1145</v>
      </c>
      <c r="M191" s="31">
        <f>5280</f>
        <v>5280</v>
      </c>
      <c r="N191" s="32" t="s">
        <v>674</v>
      </c>
      <c r="O191" s="31">
        <f>4745</f>
        <v>4745</v>
      </c>
      <c r="P191" s="32" t="s">
        <v>1114</v>
      </c>
      <c r="Q191" s="31">
        <f>4885</f>
        <v>4885</v>
      </c>
      <c r="R191" s="32" t="s">
        <v>1114</v>
      </c>
      <c r="S191" s="33">
        <f>5026.75</f>
        <v>5026.75</v>
      </c>
      <c r="T191" s="30">
        <f>65810</f>
        <v>65810</v>
      </c>
      <c r="U191" s="30" t="str">
        <f>"－"</f>
        <v>－</v>
      </c>
      <c r="V191" s="30">
        <f>329773930</f>
        <v>329773930</v>
      </c>
      <c r="W191" s="30" t="str">
        <f>"－"</f>
        <v>－</v>
      </c>
      <c r="X191" s="34">
        <f>20</f>
        <v>20</v>
      </c>
    </row>
    <row r="192" spans="1:24">
      <c r="A192" s="25" t="s">
        <v>1172</v>
      </c>
      <c r="B192" s="25" t="s">
        <v>466</v>
      </c>
      <c r="C192" s="25" t="s">
        <v>467</v>
      </c>
      <c r="D192" s="25" t="s">
        <v>468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9396</f>
        <v>9396</v>
      </c>
      <c r="L192" s="32" t="s">
        <v>1145</v>
      </c>
      <c r="M192" s="31">
        <f>9918</f>
        <v>9918</v>
      </c>
      <c r="N192" s="32" t="s">
        <v>1114</v>
      </c>
      <c r="O192" s="31">
        <f>9044</f>
        <v>9044</v>
      </c>
      <c r="P192" s="32" t="s">
        <v>674</v>
      </c>
      <c r="Q192" s="31">
        <f>9720</f>
        <v>9720</v>
      </c>
      <c r="R192" s="32" t="s">
        <v>1114</v>
      </c>
      <c r="S192" s="33">
        <f>9420.7</f>
        <v>9420.7000000000007</v>
      </c>
      <c r="T192" s="30">
        <f>3383</f>
        <v>3383</v>
      </c>
      <c r="U192" s="30" t="str">
        <f>"－"</f>
        <v>－</v>
      </c>
      <c r="V192" s="30">
        <f>32180012</f>
        <v>32180012</v>
      </c>
      <c r="W192" s="30" t="str">
        <f>"－"</f>
        <v>－</v>
      </c>
      <c r="X192" s="34">
        <f>20</f>
        <v>20</v>
      </c>
    </row>
    <row r="193" spans="1:24">
      <c r="A193" s="25" t="s">
        <v>1172</v>
      </c>
      <c r="B193" s="25" t="s">
        <v>469</v>
      </c>
      <c r="C193" s="25" t="s">
        <v>470</v>
      </c>
      <c r="D193" s="25" t="s">
        <v>471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13675</f>
        <v>13675</v>
      </c>
      <c r="L193" s="32" t="s">
        <v>1145</v>
      </c>
      <c r="M193" s="31">
        <f>15845</f>
        <v>15845</v>
      </c>
      <c r="N193" s="32" t="s">
        <v>1114</v>
      </c>
      <c r="O193" s="31">
        <f>13675</f>
        <v>13675</v>
      </c>
      <c r="P193" s="32" t="s">
        <v>1145</v>
      </c>
      <c r="Q193" s="31">
        <f>15570</f>
        <v>15570</v>
      </c>
      <c r="R193" s="32" t="s">
        <v>1114</v>
      </c>
      <c r="S193" s="33">
        <f>14859.25</f>
        <v>14859.25</v>
      </c>
      <c r="T193" s="30">
        <f>759</f>
        <v>759</v>
      </c>
      <c r="U193" s="30" t="str">
        <f>"－"</f>
        <v>－</v>
      </c>
      <c r="V193" s="30">
        <f>11213465</f>
        <v>11213465</v>
      </c>
      <c r="W193" s="30" t="str">
        <f>"－"</f>
        <v>－</v>
      </c>
      <c r="X193" s="34">
        <f>20</f>
        <v>20</v>
      </c>
    </row>
    <row r="194" spans="1:24">
      <c r="A194" s="25" t="s">
        <v>1172</v>
      </c>
      <c r="B194" s="25" t="s">
        <v>472</v>
      </c>
      <c r="C194" s="25" t="s">
        <v>473</v>
      </c>
      <c r="D194" s="25" t="s">
        <v>474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7700</f>
        <v>7700</v>
      </c>
      <c r="L194" s="32" t="s">
        <v>1145</v>
      </c>
      <c r="M194" s="31">
        <f>7750</f>
        <v>7750</v>
      </c>
      <c r="N194" s="32" t="s">
        <v>675</v>
      </c>
      <c r="O194" s="31">
        <f>7400</f>
        <v>7400</v>
      </c>
      <c r="P194" s="32" t="s">
        <v>1118</v>
      </c>
      <c r="Q194" s="31">
        <f>7526</f>
        <v>7526</v>
      </c>
      <c r="R194" s="32" t="s">
        <v>1114</v>
      </c>
      <c r="S194" s="33">
        <f>7577.95</f>
        <v>7577.95</v>
      </c>
      <c r="T194" s="30">
        <f>1513</f>
        <v>1513</v>
      </c>
      <c r="U194" s="30" t="str">
        <f>"－"</f>
        <v>－</v>
      </c>
      <c r="V194" s="30">
        <f>11400933</f>
        <v>11400933</v>
      </c>
      <c r="W194" s="30" t="str">
        <f>"－"</f>
        <v>－</v>
      </c>
      <c r="X194" s="34">
        <f>20</f>
        <v>20</v>
      </c>
    </row>
    <row r="195" spans="1:24">
      <c r="A195" s="25" t="s">
        <v>1172</v>
      </c>
      <c r="B195" s="25" t="s">
        <v>475</v>
      </c>
      <c r="C195" s="25" t="s">
        <v>476</v>
      </c>
      <c r="D195" s="25" t="s">
        <v>477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57680</f>
        <v>57680</v>
      </c>
      <c r="L195" s="32" t="s">
        <v>1145</v>
      </c>
      <c r="M195" s="31">
        <f>59570</f>
        <v>59570</v>
      </c>
      <c r="N195" s="32" t="s">
        <v>1112</v>
      </c>
      <c r="O195" s="31">
        <f>55000</f>
        <v>55000</v>
      </c>
      <c r="P195" s="32" t="s">
        <v>759</v>
      </c>
      <c r="Q195" s="31">
        <f>59000</f>
        <v>59000</v>
      </c>
      <c r="R195" s="32" t="s">
        <v>1114</v>
      </c>
      <c r="S195" s="33">
        <f>57211.5</f>
        <v>57211.5</v>
      </c>
      <c r="T195" s="30">
        <f>77913</f>
        <v>77913</v>
      </c>
      <c r="U195" s="30">
        <f>24</f>
        <v>24</v>
      </c>
      <c r="V195" s="30">
        <f>4442035000</f>
        <v>4442035000</v>
      </c>
      <c r="W195" s="30">
        <f>1374030</f>
        <v>1374030</v>
      </c>
      <c r="X195" s="34">
        <f>20</f>
        <v>20</v>
      </c>
    </row>
    <row r="196" spans="1:24">
      <c r="A196" s="25" t="s">
        <v>1172</v>
      </c>
      <c r="B196" s="25" t="s">
        <v>478</v>
      </c>
      <c r="C196" s="25" t="s">
        <v>479</v>
      </c>
      <c r="D196" s="25" t="s">
        <v>480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2793</f>
        <v>2793</v>
      </c>
      <c r="L196" s="32" t="s">
        <v>1145</v>
      </c>
      <c r="M196" s="31">
        <f>2866</f>
        <v>2866</v>
      </c>
      <c r="N196" s="32" t="s">
        <v>759</v>
      </c>
      <c r="O196" s="31">
        <f>2704</f>
        <v>2704</v>
      </c>
      <c r="P196" s="32" t="s">
        <v>1112</v>
      </c>
      <c r="Q196" s="31">
        <f>2722</f>
        <v>2722</v>
      </c>
      <c r="R196" s="32" t="s">
        <v>1114</v>
      </c>
      <c r="S196" s="33">
        <f>2776</f>
        <v>2776</v>
      </c>
      <c r="T196" s="30">
        <f>11134</f>
        <v>11134</v>
      </c>
      <c r="U196" s="30" t="str">
        <f>"－"</f>
        <v>－</v>
      </c>
      <c r="V196" s="30">
        <f>31076347</f>
        <v>31076347</v>
      </c>
      <c r="W196" s="30" t="str">
        <f>"－"</f>
        <v>－</v>
      </c>
      <c r="X196" s="34">
        <f>20</f>
        <v>20</v>
      </c>
    </row>
    <row r="197" spans="1:24">
      <c r="A197" s="25" t="s">
        <v>1172</v>
      </c>
      <c r="B197" s="25" t="s">
        <v>481</v>
      </c>
      <c r="C197" s="25" t="s">
        <v>482</v>
      </c>
      <c r="D197" s="25" t="s">
        <v>483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2273</f>
        <v>2273</v>
      </c>
      <c r="L197" s="32" t="s">
        <v>1145</v>
      </c>
      <c r="M197" s="31">
        <f>2635</f>
        <v>2635</v>
      </c>
      <c r="N197" s="32" t="s">
        <v>1114</v>
      </c>
      <c r="O197" s="31">
        <f>2029</f>
        <v>2029</v>
      </c>
      <c r="P197" s="32" t="s">
        <v>674</v>
      </c>
      <c r="Q197" s="31">
        <f>2633</f>
        <v>2633</v>
      </c>
      <c r="R197" s="32" t="s">
        <v>1114</v>
      </c>
      <c r="S197" s="33">
        <f>2335.75</f>
        <v>2335.75</v>
      </c>
      <c r="T197" s="30">
        <f>11576297</f>
        <v>11576297</v>
      </c>
      <c r="U197" s="30">
        <f>401186</f>
        <v>401186</v>
      </c>
      <c r="V197" s="30">
        <f>26971072252</f>
        <v>26971072252</v>
      </c>
      <c r="W197" s="30">
        <f>1062802829</f>
        <v>1062802829</v>
      </c>
      <c r="X197" s="34">
        <f>20</f>
        <v>20</v>
      </c>
    </row>
    <row r="198" spans="1:24">
      <c r="A198" s="25" t="s">
        <v>1172</v>
      </c>
      <c r="B198" s="25" t="s">
        <v>484</v>
      </c>
      <c r="C198" s="25" t="s">
        <v>485</v>
      </c>
      <c r="D198" s="25" t="s">
        <v>486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925</f>
        <v>925</v>
      </c>
      <c r="L198" s="32" t="s">
        <v>1145</v>
      </c>
      <c r="M198" s="31">
        <f>980</f>
        <v>980</v>
      </c>
      <c r="N198" s="32" t="s">
        <v>674</v>
      </c>
      <c r="O198" s="31">
        <f>871</f>
        <v>871</v>
      </c>
      <c r="P198" s="32" t="s">
        <v>1114</v>
      </c>
      <c r="Q198" s="31">
        <f>873</f>
        <v>873</v>
      </c>
      <c r="R198" s="32" t="s">
        <v>1114</v>
      </c>
      <c r="S198" s="33">
        <f>917.7</f>
        <v>917.7</v>
      </c>
      <c r="T198" s="30">
        <f>1565170</f>
        <v>1565170</v>
      </c>
      <c r="U198" s="30">
        <f>14</f>
        <v>14</v>
      </c>
      <c r="V198" s="30">
        <f>1437538199</f>
        <v>1437538199</v>
      </c>
      <c r="W198" s="30">
        <f>12733</f>
        <v>12733</v>
      </c>
      <c r="X198" s="34">
        <f>20</f>
        <v>20</v>
      </c>
    </row>
    <row r="199" spans="1:24">
      <c r="A199" s="25" t="s">
        <v>1172</v>
      </c>
      <c r="B199" s="25" t="s">
        <v>487</v>
      </c>
      <c r="C199" s="25" t="s">
        <v>488</v>
      </c>
      <c r="D199" s="25" t="s">
        <v>489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28000</f>
        <v>28000</v>
      </c>
      <c r="L199" s="32" t="s">
        <v>1145</v>
      </c>
      <c r="M199" s="31">
        <f>28500</f>
        <v>28500</v>
      </c>
      <c r="N199" s="32" t="s">
        <v>679</v>
      </c>
      <c r="O199" s="31">
        <f>27150</f>
        <v>27150</v>
      </c>
      <c r="P199" s="32" t="s">
        <v>682</v>
      </c>
      <c r="Q199" s="31">
        <f>27870</f>
        <v>27870</v>
      </c>
      <c r="R199" s="32" t="s">
        <v>1114</v>
      </c>
      <c r="S199" s="33">
        <f>27689.75</f>
        <v>27689.75</v>
      </c>
      <c r="T199" s="30">
        <f>42810</f>
        <v>42810</v>
      </c>
      <c r="U199" s="30">
        <f>2002</f>
        <v>2002</v>
      </c>
      <c r="V199" s="30">
        <f>1186420910</f>
        <v>1186420910</v>
      </c>
      <c r="W199" s="30">
        <f>54345655</f>
        <v>54345655</v>
      </c>
      <c r="X199" s="34">
        <f>20</f>
        <v>20</v>
      </c>
    </row>
    <row r="200" spans="1:24">
      <c r="A200" s="25" t="s">
        <v>1172</v>
      </c>
      <c r="B200" s="25" t="s">
        <v>490</v>
      </c>
      <c r="C200" s="25" t="s">
        <v>491</v>
      </c>
      <c r="D200" s="25" t="s">
        <v>492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2579</f>
        <v>2579</v>
      </c>
      <c r="L200" s="32" t="s">
        <v>1145</v>
      </c>
      <c r="M200" s="31">
        <f>2606</f>
        <v>2606</v>
      </c>
      <c r="N200" s="32" t="s">
        <v>682</v>
      </c>
      <c r="O200" s="31">
        <f>2537</f>
        <v>2537</v>
      </c>
      <c r="P200" s="32" t="s">
        <v>679</v>
      </c>
      <c r="Q200" s="31">
        <f>2559</f>
        <v>2559</v>
      </c>
      <c r="R200" s="32" t="s">
        <v>1114</v>
      </c>
      <c r="S200" s="33">
        <f>2576.3</f>
        <v>2576.3000000000002</v>
      </c>
      <c r="T200" s="30">
        <f>164610</f>
        <v>164610</v>
      </c>
      <c r="U200" s="30">
        <f>40</f>
        <v>40</v>
      </c>
      <c r="V200" s="30">
        <f>423945838</f>
        <v>423945838</v>
      </c>
      <c r="W200" s="30">
        <f>102905</f>
        <v>102905</v>
      </c>
      <c r="X200" s="34">
        <f>20</f>
        <v>20</v>
      </c>
    </row>
    <row r="201" spans="1:24">
      <c r="A201" s="25" t="s">
        <v>1172</v>
      </c>
      <c r="B201" s="25" t="s">
        <v>493</v>
      </c>
      <c r="C201" s="25" t="s">
        <v>1057</v>
      </c>
      <c r="D201" s="25" t="s">
        <v>1058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6565</f>
        <v>6565</v>
      </c>
      <c r="L201" s="32" t="s">
        <v>1145</v>
      </c>
      <c r="M201" s="31">
        <f>7122</f>
        <v>7122</v>
      </c>
      <c r="N201" s="32" t="s">
        <v>1114</v>
      </c>
      <c r="O201" s="31">
        <f>6485</f>
        <v>6485</v>
      </c>
      <c r="P201" s="32" t="s">
        <v>1145</v>
      </c>
      <c r="Q201" s="31">
        <f>7020</f>
        <v>7020</v>
      </c>
      <c r="R201" s="32" t="s">
        <v>1114</v>
      </c>
      <c r="S201" s="33">
        <f>6732.35</f>
        <v>6732.35</v>
      </c>
      <c r="T201" s="30">
        <f>46905</f>
        <v>46905</v>
      </c>
      <c r="U201" s="30">
        <f>9053</f>
        <v>9053</v>
      </c>
      <c r="V201" s="30">
        <f>316787089</f>
        <v>316787089</v>
      </c>
      <c r="W201" s="30">
        <f>61124785</f>
        <v>61124785</v>
      </c>
      <c r="X201" s="34">
        <f>20</f>
        <v>20</v>
      </c>
    </row>
    <row r="202" spans="1:24">
      <c r="A202" s="25" t="s">
        <v>1172</v>
      </c>
      <c r="B202" s="25" t="s">
        <v>494</v>
      </c>
      <c r="C202" s="25" t="s">
        <v>495</v>
      </c>
      <c r="D202" s="25" t="s">
        <v>496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19150</f>
        <v>19150</v>
      </c>
      <c r="L202" s="32" t="s">
        <v>1145</v>
      </c>
      <c r="M202" s="31">
        <f>19165</f>
        <v>19165</v>
      </c>
      <c r="N202" s="32" t="s">
        <v>759</v>
      </c>
      <c r="O202" s="31">
        <f>18385</f>
        <v>18385</v>
      </c>
      <c r="P202" s="32" t="s">
        <v>1118</v>
      </c>
      <c r="Q202" s="31">
        <f>19100</f>
        <v>19100</v>
      </c>
      <c r="R202" s="32" t="s">
        <v>1114</v>
      </c>
      <c r="S202" s="33">
        <f>18768.61</f>
        <v>18768.61</v>
      </c>
      <c r="T202" s="30">
        <f>275</f>
        <v>275</v>
      </c>
      <c r="U202" s="30" t="str">
        <f>"－"</f>
        <v>－</v>
      </c>
      <c r="V202" s="30">
        <f>5155490</f>
        <v>5155490</v>
      </c>
      <c r="W202" s="30" t="str">
        <f>"－"</f>
        <v>－</v>
      </c>
      <c r="X202" s="34">
        <f>18</f>
        <v>18</v>
      </c>
    </row>
    <row r="203" spans="1:24">
      <c r="A203" s="25" t="s">
        <v>1172</v>
      </c>
      <c r="B203" s="25" t="s">
        <v>497</v>
      </c>
      <c r="C203" s="25" t="s">
        <v>498</v>
      </c>
      <c r="D203" s="25" t="s">
        <v>499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29195</f>
        <v>29195</v>
      </c>
      <c r="L203" s="32" t="s">
        <v>1145</v>
      </c>
      <c r="M203" s="31">
        <f>29850</f>
        <v>29850</v>
      </c>
      <c r="N203" s="32" t="s">
        <v>679</v>
      </c>
      <c r="O203" s="31">
        <f>28620</f>
        <v>28620</v>
      </c>
      <c r="P203" s="32" t="s">
        <v>682</v>
      </c>
      <c r="Q203" s="31">
        <f>29550</f>
        <v>29550</v>
      </c>
      <c r="R203" s="32" t="s">
        <v>1114</v>
      </c>
      <c r="S203" s="33">
        <f>29135.75</f>
        <v>29135.75</v>
      </c>
      <c r="T203" s="30">
        <f>9301</f>
        <v>9301</v>
      </c>
      <c r="U203" s="30" t="str">
        <f>"－"</f>
        <v>－</v>
      </c>
      <c r="V203" s="30">
        <f>271447155</f>
        <v>271447155</v>
      </c>
      <c r="W203" s="30" t="str">
        <f>"－"</f>
        <v>－</v>
      </c>
      <c r="X203" s="34">
        <f>20</f>
        <v>20</v>
      </c>
    </row>
    <row r="204" spans="1:24">
      <c r="A204" s="25" t="s">
        <v>1172</v>
      </c>
      <c r="B204" s="25" t="s">
        <v>500</v>
      </c>
      <c r="C204" s="25" t="s">
        <v>501</v>
      </c>
      <c r="D204" s="25" t="s">
        <v>502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16195</f>
        <v>16195</v>
      </c>
      <c r="L204" s="32" t="s">
        <v>675</v>
      </c>
      <c r="M204" s="31">
        <f>16390</f>
        <v>16390</v>
      </c>
      <c r="N204" s="32" t="s">
        <v>759</v>
      </c>
      <c r="O204" s="31">
        <f>16020</f>
        <v>16020</v>
      </c>
      <c r="P204" s="32" t="s">
        <v>683</v>
      </c>
      <c r="Q204" s="31">
        <f>16230</f>
        <v>16230</v>
      </c>
      <c r="R204" s="32" t="s">
        <v>676</v>
      </c>
      <c r="S204" s="33">
        <f>16195.71</f>
        <v>16195.71</v>
      </c>
      <c r="T204" s="30">
        <f>106</f>
        <v>106</v>
      </c>
      <c r="U204" s="30" t="str">
        <f>"－"</f>
        <v>－</v>
      </c>
      <c r="V204" s="30">
        <f>1713205</f>
        <v>1713205</v>
      </c>
      <c r="W204" s="30" t="str">
        <f>"－"</f>
        <v>－</v>
      </c>
      <c r="X204" s="34">
        <f>7</f>
        <v>7</v>
      </c>
    </row>
    <row r="205" spans="1:24">
      <c r="A205" s="25" t="s">
        <v>1172</v>
      </c>
      <c r="B205" s="25" t="s">
        <v>503</v>
      </c>
      <c r="C205" s="25" t="s">
        <v>504</v>
      </c>
      <c r="D205" s="25" t="s">
        <v>505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31520</f>
        <v>31520</v>
      </c>
      <c r="L205" s="32" t="s">
        <v>1145</v>
      </c>
      <c r="M205" s="31">
        <f>35690</f>
        <v>35690</v>
      </c>
      <c r="N205" s="32" t="s">
        <v>1114</v>
      </c>
      <c r="O205" s="31">
        <f>29275</f>
        <v>29275</v>
      </c>
      <c r="P205" s="32" t="s">
        <v>675</v>
      </c>
      <c r="Q205" s="31">
        <f>35440</f>
        <v>35440</v>
      </c>
      <c r="R205" s="32" t="s">
        <v>1114</v>
      </c>
      <c r="S205" s="33">
        <f>32679</f>
        <v>32679</v>
      </c>
      <c r="T205" s="30">
        <f>156182</f>
        <v>156182</v>
      </c>
      <c r="U205" s="30">
        <f>143</f>
        <v>143</v>
      </c>
      <c r="V205" s="30">
        <f>4987922365</f>
        <v>4987922365</v>
      </c>
      <c r="W205" s="30">
        <f>4607990</f>
        <v>4607990</v>
      </c>
      <c r="X205" s="34">
        <f>20</f>
        <v>20</v>
      </c>
    </row>
    <row r="206" spans="1:24">
      <c r="A206" s="25" t="s">
        <v>1172</v>
      </c>
      <c r="B206" s="25" t="s">
        <v>506</v>
      </c>
      <c r="C206" s="25" t="s">
        <v>507</v>
      </c>
      <c r="D206" s="25" t="s">
        <v>508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4025</f>
        <v>4025</v>
      </c>
      <c r="L206" s="32" t="s">
        <v>1145</v>
      </c>
      <c r="M206" s="31">
        <f>4100</f>
        <v>4100</v>
      </c>
      <c r="N206" s="32" t="s">
        <v>674</v>
      </c>
      <c r="O206" s="31">
        <f>3780</f>
        <v>3780</v>
      </c>
      <c r="P206" s="32" t="s">
        <v>678</v>
      </c>
      <c r="Q206" s="31">
        <f>3825</f>
        <v>3825</v>
      </c>
      <c r="R206" s="32" t="s">
        <v>1114</v>
      </c>
      <c r="S206" s="33">
        <f>3863.75</f>
        <v>3863.75</v>
      </c>
      <c r="T206" s="30">
        <f>10267</f>
        <v>10267</v>
      </c>
      <c r="U206" s="30" t="str">
        <f t="shared" ref="U206:U217" si="4">"－"</f>
        <v>－</v>
      </c>
      <c r="V206" s="30">
        <f>40146460</f>
        <v>40146460</v>
      </c>
      <c r="W206" s="30" t="str">
        <f t="shared" ref="W206:W217" si="5">"－"</f>
        <v>－</v>
      </c>
      <c r="X206" s="34">
        <f>20</f>
        <v>20</v>
      </c>
    </row>
    <row r="207" spans="1:24">
      <c r="A207" s="25" t="s">
        <v>1172</v>
      </c>
      <c r="B207" s="25" t="s">
        <v>509</v>
      </c>
      <c r="C207" s="25" t="s">
        <v>510</v>
      </c>
      <c r="D207" s="25" t="s">
        <v>511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32030</f>
        <v>32030</v>
      </c>
      <c r="L207" s="32" t="s">
        <v>675</v>
      </c>
      <c r="M207" s="31">
        <f>32980</f>
        <v>32980</v>
      </c>
      <c r="N207" s="32" t="s">
        <v>1114</v>
      </c>
      <c r="O207" s="31">
        <f>30450</f>
        <v>30450</v>
      </c>
      <c r="P207" s="32" t="s">
        <v>1118</v>
      </c>
      <c r="Q207" s="31">
        <f>32980</f>
        <v>32980</v>
      </c>
      <c r="R207" s="32" t="s">
        <v>1114</v>
      </c>
      <c r="S207" s="33">
        <f>31325.79</f>
        <v>31325.79</v>
      </c>
      <c r="T207" s="30">
        <f>1983</f>
        <v>1983</v>
      </c>
      <c r="U207" s="30" t="str">
        <f t="shared" si="4"/>
        <v>－</v>
      </c>
      <c r="V207" s="30">
        <f>63569250</f>
        <v>63569250</v>
      </c>
      <c r="W207" s="30" t="str">
        <f t="shared" si="5"/>
        <v>－</v>
      </c>
      <c r="X207" s="34">
        <f>19</f>
        <v>19</v>
      </c>
    </row>
    <row r="208" spans="1:24">
      <c r="A208" s="25" t="s">
        <v>1172</v>
      </c>
      <c r="B208" s="25" t="s">
        <v>512</v>
      </c>
      <c r="C208" s="25" t="s">
        <v>513</v>
      </c>
      <c r="D208" s="25" t="s">
        <v>514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19310</f>
        <v>19310</v>
      </c>
      <c r="L208" s="32" t="s">
        <v>1145</v>
      </c>
      <c r="M208" s="31">
        <f>19380</f>
        <v>19380</v>
      </c>
      <c r="N208" s="32" t="s">
        <v>1114</v>
      </c>
      <c r="O208" s="31">
        <f>18920</f>
        <v>18920</v>
      </c>
      <c r="P208" s="32" t="s">
        <v>674</v>
      </c>
      <c r="Q208" s="31">
        <f>19380</f>
        <v>19380</v>
      </c>
      <c r="R208" s="32" t="s">
        <v>1114</v>
      </c>
      <c r="S208" s="33">
        <f>19129.29</f>
        <v>19129.29</v>
      </c>
      <c r="T208" s="30">
        <f>144</f>
        <v>144</v>
      </c>
      <c r="U208" s="30" t="str">
        <f t="shared" si="4"/>
        <v>－</v>
      </c>
      <c r="V208" s="30">
        <f>2756265</f>
        <v>2756265</v>
      </c>
      <c r="W208" s="30" t="str">
        <f t="shared" si="5"/>
        <v>－</v>
      </c>
      <c r="X208" s="34">
        <f>7</f>
        <v>7</v>
      </c>
    </row>
    <row r="209" spans="1:24">
      <c r="A209" s="25" t="s">
        <v>1172</v>
      </c>
      <c r="B209" s="25" t="s">
        <v>515</v>
      </c>
      <c r="C209" s="25" t="s">
        <v>516</v>
      </c>
      <c r="D209" s="25" t="s">
        <v>517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35680</f>
        <v>35680</v>
      </c>
      <c r="L209" s="32" t="s">
        <v>1145</v>
      </c>
      <c r="M209" s="31">
        <f>37240</f>
        <v>37240</v>
      </c>
      <c r="N209" s="32" t="s">
        <v>1114</v>
      </c>
      <c r="O209" s="31">
        <f>34530</f>
        <v>34530</v>
      </c>
      <c r="P209" s="32" t="s">
        <v>1123</v>
      </c>
      <c r="Q209" s="31">
        <f>37220</f>
        <v>37220</v>
      </c>
      <c r="R209" s="32" t="s">
        <v>1114</v>
      </c>
      <c r="S209" s="33">
        <f>35410</f>
        <v>35410</v>
      </c>
      <c r="T209" s="30">
        <f>405</f>
        <v>405</v>
      </c>
      <c r="U209" s="30" t="str">
        <f t="shared" si="4"/>
        <v>－</v>
      </c>
      <c r="V209" s="30">
        <f>14270780</f>
        <v>14270780</v>
      </c>
      <c r="W209" s="30" t="str">
        <f t="shared" si="5"/>
        <v>－</v>
      </c>
      <c r="X209" s="34">
        <f>17</f>
        <v>17</v>
      </c>
    </row>
    <row r="210" spans="1:24">
      <c r="A210" s="25" t="s">
        <v>1172</v>
      </c>
      <c r="B210" s="25" t="s">
        <v>518</v>
      </c>
      <c r="C210" s="25" t="s">
        <v>519</v>
      </c>
      <c r="D210" s="25" t="s">
        <v>520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19525</f>
        <v>19525</v>
      </c>
      <c r="L210" s="32" t="s">
        <v>1115</v>
      </c>
      <c r="M210" s="31">
        <f>20095</f>
        <v>20095</v>
      </c>
      <c r="N210" s="32" t="s">
        <v>676</v>
      </c>
      <c r="O210" s="31">
        <f>19395</f>
        <v>19395</v>
      </c>
      <c r="P210" s="32" t="s">
        <v>682</v>
      </c>
      <c r="Q210" s="31">
        <f>20095</f>
        <v>20095</v>
      </c>
      <c r="R210" s="32" t="s">
        <v>676</v>
      </c>
      <c r="S210" s="33">
        <f>19690</f>
        <v>19690</v>
      </c>
      <c r="T210" s="30">
        <f>53</f>
        <v>53</v>
      </c>
      <c r="U210" s="30" t="str">
        <f t="shared" si="4"/>
        <v>－</v>
      </c>
      <c r="V210" s="30">
        <f>1037275</f>
        <v>1037275</v>
      </c>
      <c r="W210" s="30" t="str">
        <f t="shared" si="5"/>
        <v>－</v>
      </c>
      <c r="X210" s="34">
        <f>5</f>
        <v>5</v>
      </c>
    </row>
    <row r="211" spans="1:24">
      <c r="A211" s="25" t="s">
        <v>1172</v>
      </c>
      <c r="B211" s="25" t="s">
        <v>521</v>
      </c>
      <c r="C211" s="25" t="s">
        <v>522</v>
      </c>
      <c r="D211" s="25" t="s">
        <v>523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19685</f>
        <v>19685</v>
      </c>
      <c r="L211" s="32" t="s">
        <v>1145</v>
      </c>
      <c r="M211" s="31">
        <f>19985</f>
        <v>19985</v>
      </c>
      <c r="N211" s="32" t="s">
        <v>1145</v>
      </c>
      <c r="O211" s="31">
        <f>19055</f>
        <v>19055</v>
      </c>
      <c r="P211" s="32" t="s">
        <v>682</v>
      </c>
      <c r="Q211" s="31">
        <f>19725</f>
        <v>19725</v>
      </c>
      <c r="R211" s="32" t="s">
        <v>1114</v>
      </c>
      <c r="S211" s="33">
        <f>19463.89</f>
        <v>19463.89</v>
      </c>
      <c r="T211" s="30">
        <f>735</f>
        <v>735</v>
      </c>
      <c r="U211" s="30" t="str">
        <f t="shared" si="4"/>
        <v>－</v>
      </c>
      <c r="V211" s="30">
        <f>14272985</f>
        <v>14272985</v>
      </c>
      <c r="W211" s="30" t="str">
        <f t="shared" si="5"/>
        <v>－</v>
      </c>
      <c r="X211" s="34">
        <f>18</f>
        <v>18</v>
      </c>
    </row>
    <row r="212" spans="1:24">
      <c r="A212" s="25" t="s">
        <v>1172</v>
      </c>
      <c r="B212" s="25" t="s">
        <v>524</v>
      </c>
      <c r="C212" s="25" t="s">
        <v>525</v>
      </c>
      <c r="D212" s="25" t="s">
        <v>526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24095</f>
        <v>24095</v>
      </c>
      <c r="L212" s="32" t="s">
        <v>1145</v>
      </c>
      <c r="M212" s="31">
        <f>24100</f>
        <v>24100</v>
      </c>
      <c r="N212" s="32" t="s">
        <v>1145</v>
      </c>
      <c r="O212" s="31">
        <f>23240</f>
        <v>23240</v>
      </c>
      <c r="P212" s="32" t="s">
        <v>682</v>
      </c>
      <c r="Q212" s="31">
        <f>23785</f>
        <v>23785</v>
      </c>
      <c r="R212" s="32" t="s">
        <v>676</v>
      </c>
      <c r="S212" s="33">
        <f>23648.33</f>
        <v>23648.33</v>
      </c>
      <c r="T212" s="30">
        <f>76</f>
        <v>76</v>
      </c>
      <c r="U212" s="30" t="str">
        <f t="shared" si="4"/>
        <v>－</v>
      </c>
      <c r="V212" s="30">
        <f>1801590</f>
        <v>1801590</v>
      </c>
      <c r="W212" s="30" t="str">
        <f t="shared" si="5"/>
        <v>－</v>
      </c>
      <c r="X212" s="34">
        <f>6</f>
        <v>6</v>
      </c>
    </row>
    <row r="213" spans="1:24">
      <c r="A213" s="25" t="s">
        <v>1172</v>
      </c>
      <c r="B213" s="25" t="s">
        <v>527</v>
      </c>
      <c r="C213" s="25" t="s">
        <v>528</v>
      </c>
      <c r="D213" s="25" t="s">
        <v>529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18230</f>
        <v>18230</v>
      </c>
      <c r="L213" s="32" t="s">
        <v>1124</v>
      </c>
      <c r="M213" s="31">
        <f>18230</f>
        <v>18230</v>
      </c>
      <c r="N213" s="32" t="s">
        <v>1124</v>
      </c>
      <c r="O213" s="31">
        <f>17570</f>
        <v>17570</v>
      </c>
      <c r="P213" s="32" t="s">
        <v>1117</v>
      </c>
      <c r="Q213" s="31">
        <f>17570</f>
        <v>17570</v>
      </c>
      <c r="R213" s="32" t="s">
        <v>1117</v>
      </c>
      <c r="S213" s="33">
        <f>17865</f>
        <v>17865</v>
      </c>
      <c r="T213" s="30">
        <f>9</f>
        <v>9</v>
      </c>
      <c r="U213" s="30" t="str">
        <f t="shared" si="4"/>
        <v>－</v>
      </c>
      <c r="V213" s="30">
        <f>162290</f>
        <v>162290</v>
      </c>
      <c r="W213" s="30" t="str">
        <f t="shared" si="5"/>
        <v>－</v>
      </c>
      <c r="X213" s="34">
        <f>3</f>
        <v>3</v>
      </c>
    </row>
    <row r="214" spans="1:24">
      <c r="A214" s="25" t="s">
        <v>1172</v>
      </c>
      <c r="B214" s="25" t="s">
        <v>530</v>
      </c>
      <c r="C214" s="25" t="s">
        <v>531</v>
      </c>
      <c r="D214" s="25" t="s">
        <v>532</v>
      </c>
      <c r="E214" s="26" t="s">
        <v>43</v>
      </c>
      <c r="F214" s="27" t="s">
        <v>43</v>
      </c>
      <c r="G214" s="28" t="s">
        <v>43</v>
      </c>
      <c r="H214" s="29"/>
      <c r="I214" s="29" t="s">
        <v>465</v>
      </c>
      <c r="J214" s="30">
        <v>1</v>
      </c>
      <c r="K214" s="31">
        <f>11280</f>
        <v>11280</v>
      </c>
      <c r="L214" s="32" t="s">
        <v>675</v>
      </c>
      <c r="M214" s="31">
        <f>11755</f>
        <v>11755</v>
      </c>
      <c r="N214" s="32" t="s">
        <v>676</v>
      </c>
      <c r="O214" s="31">
        <f>11280</f>
        <v>11280</v>
      </c>
      <c r="P214" s="32" t="s">
        <v>675</v>
      </c>
      <c r="Q214" s="31">
        <f>11745</f>
        <v>11745</v>
      </c>
      <c r="R214" s="32" t="s">
        <v>1111</v>
      </c>
      <c r="S214" s="33">
        <f>11441.11</f>
        <v>11441.11</v>
      </c>
      <c r="T214" s="30">
        <f>1681</f>
        <v>1681</v>
      </c>
      <c r="U214" s="30" t="str">
        <f t="shared" si="4"/>
        <v>－</v>
      </c>
      <c r="V214" s="30">
        <f>19151720</f>
        <v>19151720</v>
      </c>
      <c r="W214" s="30" t="str">
        <f t="shared" si="5"/>
        <v>－</v>
      </c>
      <c r="X214" s="34">
        <f>9</f>
        <v>9</v>
      </c>
    </row>
    <row r="215" spans="1:24">
      <c r="A215" s="25" t="s">
        <v>1172</v>
      </c>
      <c r="B215" s="25" t="s">
        <v>533</v>
      </c>
      <c r="C215" s="25" t="s">
        <v>534</v>
      </c>
      <c r="D215" s="25" t="s">
        <v>535</v>
      </c>
      <c r="E215" s="26" t="s">
        <v>43</v>
      </c>
      <c r="F215" s="27" t="s">
        <v>43</v>
      </c>
      <c r="G215" s="28" t="s">
        <v>43</v>
      </c>
      <c r="H215" s="29"/>
      <c r="I215" s="29" t="s">
        <v>465</v>
      </c>
      <c r="J215" s="30">
        <v>1</v>
      </c>
      <c r="K215" s="31">
        <f>13660</f>
        <v>13660</v>
      </c>
      <c r="L215" s="32" t="s">
        <v>675</v>
      </c>
      <c r="M215" s="31">
        <f>14125</f>
        <v>14125</v>
      </c>
      <c r="N215" s="32" t="s">
        <v>1114</v>
      </c>
      <c r="O215" s="31">
        <f>13580</f>
        <v>13580</v>
      </c>
      <c r="P215" s="32" t="s">
        <v>1117</v>
      </c>
      <c r="Q215" s="31">
        <f>14030</f>
        <v>14030</v>
      </c>
      <c r="R215" s="32" t="s">
        <v>1114</v>
      </c>
      <c r="S215" s="33">
        <f>13763.44</f>
        <v>13763.44</v>
      </c>
      <c r="T215" s="30">
        <f>12101</f>
        <v>12101</v>
      </c>
      <c r="U215" s="30" t="str">
        <f t="shared" si="4"/>
        <v>－</v>
      </c>
      <c r="V215" s="30">
        <f>167485155</f>
        <v>167485155</v>
      </c>
      <c r="W215" s="30" t="str">
        <f t="shared" si="5"/>
        <v>－</v>
      </c>
      <c r="X215" s="34">
        <f>16</f>
        <v>16</v>
      </c>
    </row>
    <row r="216" spans="1:24">
      <c r="A216" s="25" t="s">
        <v>1172</v>
      </c>
      <c r="B216" s="25" t="s">
        <v>536</v>
      </c>
      <c r="C216" s="25" t="s">
        <v>537</v>
      </c>
      <c r="D216" s="25" t="s">
        <v>538</v>
      </c>
      <c r="E216" s="26" t="s">
        <v>43</v>
      </c>
      <c r="F216" s="27" t="s">
        <v>43</v>
      </c>
      <c r="G216" s="28" t="s">
        <v>43</v>
      </c>
      <c r="H216" s="29"/>
      <c r="I216" s="29" t="s">
        <v>465</v>
      </c>
      <c r="J216" s="30">
        <v>1</v>
      </c>
      <c r="K216" s="31">
        <f>12810</f>
        <v>12810</v>
      </c>
      <c r="L216" s="32" t="s">
        <v>675</v>
      </c>
      <c r="M216" s="31">
        <f>12815</f>
        <v>12815</v>
      </c>
      <c r="N216" s="32" t="s">
        <v>676</v>
      </c>
      <c r="O216" s="31">
        <f>12440</f>
        <v>12440</v>
      </c>
      <c r="P216" s="32" t="s">
        <v>1118</v>
      </c>
      <c r="Q216" s="31">
        <f>12815</f>
        <v>12815</v>
      </c>
      <c r="R216" s="32" t="s">
        <v>676</v>
      </c>
      <c r="S216" s="33">
        <f>12646.88</f>
        <v>12646.88</v>
      </c>
      <c r="T216" s="30">
        <f>1405</f>
        <v>1405</v>
      </c>
      <c r="U216" s="30" t="str">
        <f t="shared" si="4"/>
        <v>－</v>
      </c>
      <c r="V216" s="30">
        <f>17673750</f>
        <v>17673750</v>
      </c>
      <c r="W216" s="30" t="str">
        <f t="shared" si="5"/>
        <v>－</v>
      </c>
      <c r="X216" s="34">
        <f>8</f>
        <v>8</v>
      </c>
    </row>
    <row r="217" spans="1:24">
      <c r="A217" s="25" t="s">
        <v>1172</v>
      </c>
      <c r="B217" s="25" t="s">
        <v>783</v>
      </c>
      <c r="C217" s="25" t="s">
        <v>784</v>
      </c>
      <c r="D217" s="25" t="s">
        <v>785</v>
      </c>
      <c r="E217" s="26" t="s">
        <v>43</v>
      </c>
      <c r="F217" s="27" t="s">
        <v>43</v>
      </c>
      <c r="G217" s="28" t="s">
        <v>43</v>
      </c>
      <c r="H217" s="29"/>
      <c r="I217" s="29" t="s">
        <v>465</v>
      </c>
      <c r="J217" s="30">
        <v>1</v>
      </c>
      <c r="K217" s="31">
        <f>11915</f>
        <v>11915</v>
      </c>
      <c r="L217" s="32" t="s">
        <v>759</v>
      </c>
      <c r="M217" s="31">
        <f>12250</f>
        <v>12250</v>
      </c>
      <c r="N217" s="32" t="s">
        <v>1111</v>
      </c>
      <c r="O217" s="31">
        <f>11915</f>
        <v>11915</v>
      </c>
      <c r="P217" s="32" t="s">
        <v>759</v>
      </c>
      <c r="Q217" s="31">
        <f>12250</f>
        <v>12250</v>
      </c>
      <c r="R217" s="32" t="s">
        <v>1111</v>
      </c>
      <c r="S217" s="33">
        <f>12091.67</f>
        <v>12091.67</v>
      </c>
      <c r="T217" s="30">
        <f>101</f>
        <v>101</v>
      </c>
      <c r="U217" s="30" t="str">
        <f t="shared" si="4"/>
        <v>－</v>
      </c>
      <c r="V217" s="30">
        <f>1217010</f>
        <v>1217010</v>
      </c>
      <c r="W217" s="30" t="str">
        <f t="shared" si="5"/>
        <v>－</v>
      </c>
      <c r="X217" s="34">
        <f>3</f>
        <v>3</v>
      </c>
    </row>
    <row r="218" spans="1:24">
      <c r="A218" s="25" t="s">
        <v>1172</v>
      </c>
      <c r="B218" s="25" t="s">
        <v>991</v>
      </c>
      <c r="C218" s="25" t="s">
        <v>992</v>
      </c>
      <c r="D218" s="25" t="s">
        <v>993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1240</f>
        <v>1240</v>
      </c>
      <c r="L218" s="32" t="s">
        <v>1145</v>
      </c>
      <c r="M218" s="31">
        <f>1252</f>
        <v>1252</v>
      </c>
      <c r="N218" s="32" t="s">
        <v>1145</v>
      </c>
      <c r="O218" s="31">
        <f>1178</f>
        <v>1178</v>
      </c>
      <c r="P218" s="32" t="s">
        <v>682</v>
      </c>
      <c r="Q218" s="31">
        <f>1236</f>
        <v>1236</v>
      </c>
      <c r="R218" s="32" t="s">
        <v>1114</v>
      </c>
      <c r="S218" s="33">
        <f>1211.5</f>
        <v>1211.5</v>
      </c>
      <c r="T218" s="30">
        <f>2449477</f>
        <v>2449477</v>
      </c>
      <c r="U218" s="30">
        <f>141000</f>
        <v>141000</v>
      </c>
      <c r="V218" s="30">
        <f>2974238960</f>
        <v>2974238960</v>
      </c>
      <c r="W218" s="30">
        <f>174515400</f>
        <v>174515400</v>
      </c>
      <c r="X218" s="34">
        <f>20</f>
        <v>20</v>
      </c>
    </row>
    <row r="219" spans="1:24">
      <c r="A219" s="25" t="s">
        <v>1172</v>
      </c>
      <c r="B219" s="25" t="s">
        <v>994</v>
      </c>
      <c r="C219" s="25" t="s">
        <v>995</v>
      </c>
      <c r="D219" s="25" t="s">
        <v>996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1233</f>
        <v>1233</v>
      </c>
      <c r="L219" s="32" t="s">
        <v>1145</v>
      </c>
      <c r="M219" s="31">
        <f>1259</f>
        <v>1259</v>
      </c>
      <c r="N219" s="32" t="s">
        <v>1114</v>
      </c>
      <c r="O219" s="31">
        <f>1172</f>
        <v>1172</v>
      </c>
      <c r="P219" s="32" t="s">
        <v>1117</v>
      </c>
      <c r="Q219" s="31">
        <f>1253</f>
        <v>1253</v>
      </c>
      <c r="R219" s="32" t="s">
        <v>1114</v>
      </c>
      <c r="S219" s="33">
        <f>1218.7</f>
        <v>1218.7</v>
      </c>
      <c r="T219" s="30">
        <f>95637</f>
        <v>95637</v>
      </c>
      <c r="U219" s="30" t="str">
        <f>"－"</f>
        <v>－</v>
      </c>
      <c r="V219" s="30">
        <f>117715124</f>
        <v>117715124</v>
      </c>
      <c r="W219" s="30" t="str">
        <f>"－"</f>
        <v>－</v>
      </c>
      <c r="X219" s="34">
        <f>20</f>
        <v>20</v>
      </c>
    </row>
    <row r="220" spans="1:24">
      <c r="A220" s="25" t="s">
        <v>1172</v>
      </c>
      <c r="B220" s="25" t="s">
        <v>997</v>
      </c>
      <c r="C220" s="25" t="s">
        <v>998</v>
      </c>
      <c r="D220" s="25" t="s">
        <v>999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</v>
      </c>
      <c r="K220" s="31">
        <f>1038</f>
        <v>1038</v>
      </c>
      <c r="L220" s="32" t="s">
        <v>1145</v>
      </c>
      <c r="M220" s="31">
        <f>1060</f>
        <v>1060</v>
      </c>
      <c r="N220" s="32" t="s">
        <v>676</v>
      </c>
      <c r="O220" s="31">
        <f>1009</f>
        <v>1009</v>
      </c>
      <c r="P220" s="32" t="s">
        <v>1117</v>
      </c>
      <c r="Q220" s="31">
        <f>1053</f>
        <v>1053</v>
      </c>
      <c r="R220" s="32" t="s">
        <v>1114</v>
      </c>
      <c r="S220" s="33">
        <f>1042.6</f>
        <v>1042.5999999999999</v>
      </c>
      <c r="T220" s="30">
        <f>32036</f>
        <v>32036</v>
      </c>
      <c r="U220" s="30" t="str">
        <f>"－"</f>
        <v>－</v>
      </c>
      <c r="V220" s="30">
        <f>33428095</f>
        <v>33428095</v>
      </c>
      <c r="W220" s="30" t="str">
        <f>"－"</f>
        <v>－</v>
      </c>
      <c r="X220" s="34">
        <f>20</f>
        <v>20</v>
      </c>
    </row>
    <row r="221" spans="1:24">
      <c r="A221" s="25" t="s">
        <v>1172</v>
      </c>
      <c r="B221" s="25" t="s">
        <v>1000</v>
      </c>
      <c r="C221" s="25" t="s">
        <v>1001</v>
      </c>
      <c r="D221" s="25" t="s">
        <v>1002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</v>
      </c>
      <c r="K221" s="31">
        <f>2290</f>
        <v>2290</v>
      </c>
      <c r="L221" s="32" t="s">
        <v>1145</v>
      </c>
      <c r="M221" s="31">
        <f>2362</f>
        <v>2362</v>
      </c>
      <c r="N221" s="32" t="s">
        <v>1114</v>
      </c>
      <c r="O221" s="31">
        <f>2237</f>
        <v>2237</v>
      </c>
      <c r="P221" s="32" t="s">
        <v>682</v>
      </c>
      <c r="Q221" s="31">
        <f>2353</f>
        <v>2353</v>
      </c>
      <c r="R221" s="32" t="s">
        <v>1114</v>
      </c>
      <c r="S221" s="33">
        <f>2287.7</f>
        <v>2287.6999999999998</v>
      </c>
      <c r="T221" s="30">
        <f>318728</f>
        <v>318728</v>
      </c>
      <c r="U221" s="30">
        <f>44400</f>
        <v>44400</v>
      </c>
      <c r="V221" s="30">
        <f>730089755</f>
        <v>730089755</v>
      </c>
      <c r="W221" s="30">
        <f>103900440</f>
        <v>103900440</v>
      </c>
      <c r="X221" s="34">
        <f>20</f>
        <v>20</v>
      </c>
    </row>
    <row r="222" spans="1:24">
      <c r="A222" s="25" t="s">
        <v>1172</v>
      </c>
      <c r="B222" s="25" t="s">
        <v>1003</v>
      </c>
      <c r="C222" s="25" t="s">
        <v>1004</v>
      </c>
      <c r="D222" s="25" t="s">
        <v>1005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</v>
      </c>
      <c r="K222" s="31">
        <f>2353</f>
        <v>2353</v>
      </c>
      <c r="L222" s="32" t="s">
        <v>1145</v>
      </c>
      <c r="M222" s="31">
        <f>2379</f>
        <v>2379</v>
      </c>
      <c r="N222" s="32" t="s">
        <v>1145</v>
      </c>
      <c r="O222" s="31">
        <f>2284</f>
        <v>2284</v>
      </c>
      <c r="P222" s="32" t="s">
        <v>682</v>
      </c>
      <c r="Q222" s="31">
        <f>2365</f>
        <v>2365</v>
      </c>
      <c r="R222" s="32" t="s">
        <v>1114</v>
      </c>
      <c r="S222" s="33">
        <f>2326.55</f>
        <v>2326.5500000000002</v>
      </c>
      <c r="T222" s="30">
        <f>395563</f>
        <v>395563</v>
      </c>
      <c r="U222" s="30">
        <f>10274</f>
        <v>10274</v>
      </c>
      <c r="V222" s="30">
        <f>917906717</f>
        <v>917906717</v>
      </c>
      <c r="W222" s="30">
        <f>23894417</f>
        <v>23894417</v>
      </c>
      <c r="X222" s="34">
        <f>20</f>
        <v>20</v>
      </c>
    </row>
    <row r="223" spans="1:24">
      <c r="A223" s="25" t="s">
        <v>1172</v>
      </c>
      <c r="B223" s="25" t="s">
        <v>1006</v>
      </c>
      <c r="C223" s="25" t="s">
        <v>1007</v>
      </c>
      <c r="D223" s="25" t="s">
        <v>1008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568.9</f>
        <v>568.9</v>
      </c>
      <c r="L223" s="32" t="s">
        <v>1145</v>
      </c>
      <c r="M223" s="31">
        <f>572.6</f>
        <v>572.6</v>
      </c>
      <c r="N223" s="32" t="s">
        <v>684</v>
      </c>
      <c r="O223" s="31">
        <f>550</f>
        <v>550</v>
      </c>
      <c r="P223" s="32" t="s">
        <v>682</v>
      </c>
      <c r="Q223" s="31">
        <f>571.3</f>
        <v>571.29999999999995</v>
      </c>
      <c r="R223" s="32" t="s">
        <v>1114</v>
      </c>
      <c r="S223" s="33">
        <f>561.38</f>
        <v>561.38</v>
      </c>
      <c r="T223" s="30">
        <f>941890</f>
        <v>941890</v>
      </c>
      <c r="U223" s="30">
        <f>60</f>
        <v>60</v>
      </c>
      <c r="V223" s="30">
        <f>529018603</f>
        <v>529018603</v>
      </c>
      <c r="W223" s="30">
        <f>33666</f>
        <v>33666</v>
      </c>
      <c r="X223" s="34">
        <f>20</f>
        <v>20</v>
      </c>
    </row>
    <row r="224" spans="1:24">
      <c r="A224" s="25" t="s">
        <v>1172</v>
      </c>
      <c r="B224" s="25" t="s">
        <v>1009</v>
      </c>
      <c r="C224" s="25" t="s">
        <v>1010</v>
      </c>
      <c r="D224" s="25" t="s">
        <v>1011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2309</f>
        <v>2309</v>
      </c>
      <c r="L224" s="32" t="s">
        <v>674</v>
      </c>
      <c r="M224" s="31">
        <f>2385</f>
        <v>2385</v>
      </c>
      <c r="N224" s="32" t="s">
        <v>1112</v>
      </c>
      <c r="O224" s="31">
        <f>2309</f>
        <v>2309</v>
      </c>
      <c r="P224" s="32" t="s">
        <v>674</v>
      </c>
      <c r="Q224" s="31">
        <f>2379</f>
        <v>2379</v>
      </c>
      <c r="R224" s="32" t="s">
        <v>679</v>
      </c>
      <c r="S224" s="33">
        <f>2363.88</f>
        <v>2363.88</v>
      </c>
      <c r="T224" s="30">
        <f>90</f>
        <v>90</v>
      </c>
      <c r="U224" s="30" t="str">
        <f>"－"</f>
        <v>－</v>
      </c>
      <c r="V224" s="30">
        <f>211435</f>
        <v>211435</v>
      </c>
      <c r="W224" s="30" t="str">
        <f>"－"</f>
        <v>－</v>
      </c>
      <c r="X224" s="34">
        <f>4</f>
        <v>4</v>
      </c>
    </row>
    <row r="225" spans="1:24">
      <c r="A225" s="25" t="s">
        <v>1172</v>
      </c>
      <c r="B225" s="25" t="s">
        <v>1012</v>
      </c>
      <c r="C225" s="25" t="s">
        <v>1013</v>
      </c>
      <c r="D225" s="25" t="s">
        <v>1014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2452.5</f>
        <v>2452.5</v>
      </c>
      <c r="L225" s="32" t="s">
        <v>675</v>
      </c>
      <c r="M225" s="31">
        <f>2529</f>
        <v>2529</v>
      </c>
      <c r="N225" s="32" t="s">
        <v>1114</v>
      </c>
      <c r="O225" s="31">
        <f>2373</f>
        <v>2373</v>
      </c>
      <c r="P225" s="32" t="s">
        <v>675</v>
      </c>
      <c r="Q225" s="31">
        <f>2527.5</f>
        <v>2527.5</v>
      </c>
      <c r="R225" s="32" t="s">
        <v>1114</v>
      </c>
      <c r="S225" s="33">
        <f>2438.38</f>
        <v>2438.38</v>
      </c>
      <c r="T225" s="30">
        <f>2070</f>
        <v>2070</v>
      </c>
      <c r="U225" s="30" t="str">
        <f>"－"</f>
        <v>－</v>
      </c>
      <c r="V225" s="30">
        <f>5028345</f>
        <v>5028345</v>
      </c>
      <c r="W225" s="30" t="str">
        <f>"－"</f>
        <v>－</v>
      </c>
      <c r="X225" s="34">
        <f>4</f>
        <v>4</v>
      </c>
    </row>
    <row r="226" spans="1:24">
      <c r="A226" s="25" t="s">
        <v>1172</v>
      </c>
      <c r="B226" s="25" t="s">
        <v>1015</v>
      </c>
      <c r="C226" s="25" t="s">
        <v>1016</v>
      </c>
      <c r="D226" s="25" t="s">
        <v>1017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2151</f>
        <v>2151</v>
      </c>
      <c r="L226" s="32" t="s">
        <v>675</v>
      </c>
      <c r="M226" s="31">
        <f>2151</f>
        <v>2151</v>
      </c>
      <c r="N226" s="32" t="s">
        <v>675</v>
      </c>
      <c r="O226" s="31">
        <f>2151</f>
        <v>2151</v>
      </c>
      <c r="P226" s="32" t="s">
        <v>675</v>
      </c>
      <c r="Q226" s="31">
        <f>2151</f>
        <v>2151</v>
      </c>
      <c r="R226" s="32" t="s">
        <v>675</v>
      </c>
      <c r="S226" s="33">
        <f>2151</f>
        <v>2151</v>
      </c>
      <c r="T226" s="30">
        <f>50</f>
        <v>50</v>
      </c>
      <c r="U226" s="30" t="str">
        <f>"－"</f>
        <v>－</v>
      </c>
      <c r="V226" s="30">
        <f>107550</f>
        <v>107550</v>
      </c>
      <c r="W226" s="30" t="str">
        <f>"－"</f>
        <v>－</v>
      </c>
      <c r="X226" s="34">
        <f>1</f>
        <v>1</v>
      </c>
    </row>
    <row r="227" spans="1:24">
      <c r="A227" s="25" t="s">
        <v>1172</v>
      </c>
      <c r="B227" s="25" t="s">
        <v>1018</v>
      </c>
      <c r="C227" s="25" t="s">
        <v>1019</v>
      </c>
      <c r="D227" s="25" t="s">
        <v>1020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2240</f>
        <v>2240</v>
      </c>
      <c r="L227" s="32" t="s">
        <v>1112</v>
      </c>
      <c r="M227" s="31">
        <f>2240</f>
        <v>2240</v>
      </c>
      <c r="N227" s="32" t="s">
        <v>1112</v>
      </c>
      <c r="O227" s="31">
        <f>2240</f>
        <v>2240</v>
      </c>
      <c r="P227" s="32" t="s">
        <v>1112</v>
      </c>
      <c r="Q227" s="31">
        <f>2240</f>
        <v>2240</v>
      </c>
      <c r="R227" s="32" t="s">
        <v>1112</v>
      </c>
      <c r="S227" s="33">
        <f>2240</f>
        <v>2240</v>
      </c>
      <c r="T227" s="30">
        <f>451030</f>
        <v>451030</v>
      </c>
      <c r="U227" s="30">
        <f>451000</f>
        <v>451000</v>
      </c>
      <c r="V227" s="30">
        <f>1000752810</f>
        <v>1000752810</v>
      </c>
      <c r="W227" s="30">
        <f>1000685610</f>
        <v>1000685610</v>
      </c>
      <c r="X227" s="34">
        <f>1</f>
        <v>1</v>
      </c>
    </row>
    <row r="228" spans="1:24">
      <c r="A228" s="25" t="s">
        <v>1172</v>
      </c>
      <c r="B228" s="25" t="s">
        <v>1021</v>
      </c>
      <c r="C228" s="25" t="s">
        <v>1022</v>
      </c>
      <c r="D228" s="25" t="s">
        <v>1023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 t="str">
        <f>"－"</f>
        <v>－</v>
      </c>
      <c r="L228" s="32"/>
      <c r="M228" s="31" t="str">
        <f>"－"</f>
        <v>－</v>
      </c>
      <c r="N228" s="32"/>
      <c r="O228" s="31" t="str">
        <f>"－"</f>
        <v>－</v>
      </c>
      <c r="P228" s="32"/>
      <c r="Q228" s="31" t="str">
        <f>"－"</f>
        <v>－</v>
      </c>
      <c r="R228" s="32"/>
      <c r="S228" s="33" t="str">
        <f t="shared" ref="S228:X228" si="6">"－"</f>
        <v>－</v>
      </c>
      <c r="T228" s="30" t="str">
        <f t="shared" si="6"/>
        <v>－</v>
      </c>
      <c r="U228" s="30" t="str">
        <f t="shared" si="6"/>
        <v>－</v>
      </c>
      <c r="V228" s="30" t="str">
        <f t="shared" si="6"/>
        <v>－</v>
      </c>
      <c r="W228" s="30" t="str">
        <f t="shared" si="6"/>
        <v>－</v>
      </c>
      <c r="X228" s="34" t="str">
        <f t="shared" si="6"/>
        <v>－</v>
      </c>
    </row>
    <row r="229" spans="1:24">
      <c r="A229" s="25" t="s">
        <v>1172</v>
      </c>
      <c r="B229" s="25" t="s">
        <v>1024</v>
      </c>
      <c r="C229" s="25" t="s">
        <v>1025</v>
      </c>
      <c r="D229" s="25" t="s">
        <v>1026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10</v>
      </c>
      <c r="K229" s="31" t="str">
        <f>"－"</f>
        <v>－</v>
      </c>
      <c r="L229" s="32"/>
      <c r="M229" s="31" t="str">
        <f>"－"</f>
        <v>－</v>
      </c>
      <c r="N229" s="32"/>
      <c r="O229" s="31" t="str">
        <f>"－"</f>
        <v>－</v>
      </c>
      <c r="P229" s="32"/>
      <c r="Q229" s="31" t="str">
        <f>"－"</f>
        <v>－</v>
      </c>
      <c r="R229" s="32"/>
      <c r="S229" s="33" t="str">
        <f>"－"</f>
        <v>－</v>
      </c>
      <c r="T229" s="30">
        <f>1200000</f>
        <v>1200000</v>
      </c>
      <c r="U229" s="30">
        <f>1200000</f>
        <v>1200000</v>
      </c>
      <c r="V229" s="30">
        <f>5946840000</f>
        <v>5946840000</v>
      </c>
      <c r="W229" s="30">
        <f>5946840000</f>
        <v>5946840000</v>
      </c>
      <c r="X229" s="34" t="str">
        <f>"－"</f>
        <v>－</v>
      </c>
    </row>
    <row r="230" spans="1:24">
      <c r="A230" s="25" t="s">
        <v>1172</v>
      </c>
      <c r="B230" s="25" t="s">
        <v>1027</v>
      </c>
      <c r="C230" s="25" t="s">
        <v>1028</v>
      </c>
      <c r="D230" s="25" t="s">
        <v>1029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10</v>
      </c>
      <c r="K230" s="31">
        <f>4924</f>
        <v>4924</v>
      </c>
      <c r="L230" s="32" t="s">
        <v>684</v>
      </c>
      <c r="M230" s="31">
        <f>4924</f>
        <v>4924</v>
      </c>
      <c r="N230" s="32" t="s">
        <v>684</v>
      </c>
      <c r="O230" s="31">
        <f>4924</f>
        <v>4924</v>
      </c>
      <c r="P230" s="32" t="s">
        <v>684</v>
      </c>
      <c r="Q230" s="31">
        <f>4924</f>
        <v>4924</v>
      </c>
      <c r="R230" s="32" t="s">
        <v>684</v>
      </c>
      <c r="S230" s="33">
        <f>4924</f>
        <v>4924</v>
      </c>
      <c r="T230" s="30">
        <f>22500</f>
        <v>22500</v>
      </c>
      <c r="U230" s="30" t="str">
        <f>"－"</f>
        <v>－</v>
      </c>
      <c r="V230" s="30">
        <f>110790000</f>
        <v>110790000</v>
      </c>
      <c r="W230" s="30" t="str">
        <f>"－"</f>
        <v>－</v>
      </c>
      <c r="X230" s="34">
        <f>1</f>
        <v>1</v>
      </c>
    </row>
    <row r="231" spans="1:24">
      <c r="A231" s="25" t="s">
        <v>1172</v>
      </c>
      <c r="B231" s="25" t="s">
        <v>1053</v>
      </c>
      <c r="C231" s="25" t="s">
        <v>1052</v>
      </c>
      <c r="D231" s="25" t="s">
        <v>1051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10</v>
      </c>
      <c r="K231" s="31">
        <f>5208</f>
        <v>5208</v>
      </c>
      <c r="L231" s="32" t="s">
        <v>1145</v>
      </c>
      <c r="M231" s="31">
        <f>5361</f>
        <v>5361</v>
      </c>
      <c r="N231" s="32" t="s">
        <v>683</v>
      </c>
      <c r="O231" s="31">
        <f>5145</f>
        <v>5145</v>
      </c>
      <c r="P231" s="32" t="s">
        <v>674</v>
      </c>
      <c r="Q231" s="31">
        <f>5349</f>
        <v>5349</v>
      </c>
      <c r="R231" s="32" t="s">
        <v>1114</v>
      </c>
      <c r="S231" s="33">
        <f>5236.7</f>
        <v>5236.7</v>
      </c>
      <c r="T231" s="30">
        <f>167340</f>
        <v>167340</v>
      </c>
      <c r="U231" s="30">
        <f>39020</f>
        <v>39020</v>
      </c>
      <c r="V231" s="30">
        <f>886652262</f>
        <v>886652262</v>
      </c>
      <c r="W231" s="30">
        <f>204791852</f>
        <v>204791852</v>
      </c>
      <c r="X231" s="34">
        <f>20</f>
        <v>20</v>
      </c>
    </row>
    <row r="232" spans="1:24">
      <c r="A232" s="25" t="s">
        <v>1172</v>
      </c>
      <c r="B232" s="25" t="s">
        <v>1050</v>
      </c>
      <c r="C232" s="25" t="s">
        <v>1049</v>
      </c>
      <c r="D232" s="25" t="s">
        <v>1048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989</f>
        <v>989</v>
      </c>
      <c r="L232" s="32" t="s">
        <v>1145</v>
      </c>
      <c r="M232" s="31">
        <f>1001</f>
        <v>1001</v>
      </c>
      <c r="N232" s="32" t="s">
        <v>1123</v>
      </c>
      <c r="O232" s="31">
        <f>973</f>
        <v>973</v>
      </c>
      <c r="P232" s="32" t="s">
        <v>1114</v>
      </c>
      <c r="Q232" s="31">
        <f>988</f>
        <v>988</v>
      </c>
      <c r="R232" s="32" t="s">
        <v>1114</v>
      </c>
      <c r="S232" s="33">
        <f>989.55</f>
        <v>989.55</v>
      </c>
      <c r="T232" s="30">
        <f>216303</f>
        <v>216303</v>
      </c>
      <c r="U232" s="30">
        <f>206500</f>
        <v>206500</v>
      </c>
      <c r="V232" s="30">
        <f>215604230</f>
        <v>215604230</v>
      </c>
      <c r="W232" s="30">
        <f>205897700</f>
        <v>205897700</v>
      </c>
      <c r="X232" s="34">
        <f>20</f>
        <v>20</v>
      </c>
    </row>
    <row r="233" spans="1:24">
      <c r="A233" s="25" t="s">
        <v>1172</v>
      </c>
      <c r="B233" s="25" t="s">
        <v>1047</v>
      </c>
      <c r="C233" s="25" t="s">
        <v>1046</v>
      </c>
      <c r="D233" s="25" t="s">
        <v>1045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1119</f>
        <v>1119</v>
      </c>
      <c r="L233" s="32" t="s">
        <v>1145</v>
      </c>
      <c r="M233" s="31">
        <f>1119</f>
        <v>1119</v>
      </c>
      <c r="N233" s="32" t="s">
        <v>1145</v>
      </c>
      <c r="O233" s="31">
        <f>1085</f>
        <v>1085</v>
      </c>
      <c r="P233" s="32" t="s">
        <v>1115</v>
      </c>
      <c r="Q233" s="31">
        <f>1093</f>
        <v>1093</v>
      </c>
      <c r="R233" s="32" t="s">
        <v>1114</v>
      </c>
      <c r="S233" s="33">
        <f>1100.95</f>
        <v>1100.95</v>
      </c>
      <c r="T233" s="30">
        <f>298295</f>
        <v>298295</v>
      </c>
      <c r="U233" s="30" t="str">
        <f>"－"</f>
        <v>－</v>
      </c>
      <c r="V233" s="30">
        <f>330730449</f>
        <v>330730449</v>
      </c>
      <c r="W233" s="30" t="str">
        <f>"－"</f>
        <v>－</v>
      </c>
      <c r="X233" s="34">
        <f>20</f>
        <v>20</v>
      </c>
    </row>
    <row r="234" spans="1:24">
      <c r="A234" s="25" t="s">
        <v>1172</v>
      </c>
      <c r="B234" s="25" t="s">
        <v>1044</v>
      </c>
      <c r="C234" s="25" t="s">
        <v>1043</v>
      </c>
      <c r="D234" s="25" t="s">
        <v>1042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936</f>
        <v>936</v>
      </c>
      <c r="L234" s="32" t="s">
        <v>1145</v>
      </c>
      <c r="M234" s="31">
        <f>941</f>
        <v>941</v>
      </c>
      <c r="N234" s="32" t="s">
        <v>1145</v>
      </c>
      <c r="O234" s="31">
        <f>917</f>
        <v>917</v>
      </c>
      <c r="P234" s="32" t="s">
        <v>1123</v>
      </c>
      <c r="Q234" s="31">
        <f>926</f>
        <v>926</v>
      </c>
      <c r="R234" s="32" t="s">
        <v>1114</v>
      </c>
      <c r="S234" s="33">
        <f>928.5</f>
        <v>928.5</v>
      </c>
      <c r="T234" s="30">
        <f>99344</f>
        <v>99344</v>
      </c>
      <c r="U234" s="30">
        <f>80730</f>
        <v>80730</v>
      </c>
      <c r="V234" s="30">
        <f>92187751</f>
        <v>92187751</v>
      </c>
      <c r="W234" s="30">
        <f>74796345</f>
        <v>74796345</v>
      </c>
      <c r="X234" s="34">
        <f>20</f>
        <v>20</v>
      </c>
    </row>
    <row r="235" spans="1:24">
      <c r="A235" s="25" t="s">
        <v>1172</v>
      </c>
      <c r="B235" s="25" t="s">
        <v>1041</v>
      </c>
      <c r="C235" s="25" t="s">
        <v>1040</v>
      </c>
      <c r="D235" s="25" t="s">
        <v>1039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998</f>
        <v>998</v>
      </c>
      <c r="L235" s="32" t="s">
        <v>1145</v>
      </c>
      <c r="M235" s="31">
        <f>1034</f>
        <v>1034</v>
      </c>
      <c r="N235" s="32" t="s">
        <v>1124</v>
      </c>
      <c r="O235" s="31">
        <f>980</f>
        <v>980</v>
      </c>
      <c r="P235" s="32" t="s">
        <v>1123</v>
      </c>
      <c r="Q235" s="31">
        <f>993</f>
        <v>993</v>
      </c>
      <c r="R235" s="32" t="s">
        <v>1114</v>
      </c>
      <c r="S235" s="33">
        <f>993.1</f>
        <v>993.1</v>
      </c>
      <c r="T235" s="30">
        <f>266018</f>
        <v>266018</v>
      </c>
      <c r="U235" s="30">
        <f>130000</f>
        <v>130000</v>
      </c>
      <c r="V235" s="30">
        <f>262218380</f>
        <v>262218380</v>
      </c>
      <c r="W235" s="30">
        <f>128219000</f>
        <v>128219000</v>
      </c>
      <c r="X235" s="34">
        <f>20</f>
        <v>20</v>
      </c>
    </row>
    <row r="236" spans="1:24">
      <c r="A236" s="25" t="s">
        <v>1172</v>
      </c>
      <c r="B236" s="25" t="s">
        <v>1038</v>
      </c>
      <c r="C236" s="25" t="s">
        <v>1037</v>
      </c>
      <c r="D236" s="25" t="s">
        <v>1036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1019</f>
        <v>1019</v>
      </c>
      <c r="L236" s="32" t="s">
        <v>1145</v>
      </c>
      <c r="M236" s="31">
        <f>1022</f>
        <v>1022</v>
      </c>
      <c r="N236" s="32" t="s">
        <v>1118</v>
      </c>
      <c r="O236" s="31">
        <f>994</f>
        <v>994</v>
      </c>
      <c r="P236" s="32" t="s">
        <v>1114</v>
      </c>
      <c r="Q236" s="31">
        <f>1004</f>
        <v>1004</v>
      </c>
      <c r="R236" s="32" t="s">
        <v>1114</v>
      </c>
      <c r="S236" s="33">
        <f>1010.05</f>
        <v>1010.05</v>
      </c>
      <c r="T236" s="30">
        <f>122056</f>
        <v>122056</v>
      </c>
      <c r="U236" s="30">
        <f>3</f>
        <v>3</v>
      </c>
      <c r="V236" s="30">
        <f>122791432</f>
        <v>122791432</v>
      </c>
      <c r="W236" s="30">
        <f>3030</f>
        <v>3030</v>
      </c>
      <c r="X236" s="34">
        <f>20</f>
        <v>20</v>
      </c>
    </row>
    <row r="237" spans="1:24">
      <c r="A237" s="25" t="s">
        <v>1172</v>
      </c>
      <c r="B237" s="25" t="s">
        <v>1181</v>
      </c>
      <c r="C237" s="25" t="s">
        <v>1182</v>
      </c>
      <c r="D237" s="25" t="s">
        <v>1183</v>
      </c>
      <c r="E237" s="26" t="s">
        <v>672</v>
      </c>
      <c r="F237" s="27" t="s">
        <v>673</v>
      </c>
      <c r="G237" s="28" t="s">
        <v>1184</v>
      </c>
      <c r="H237" s="29"/>
      <c r="I237" s="29" t="s">
        <v>44</v>
      </c>
      <c r="J237" s="30">
        <v>1</v>
      </c>
      <c r="K237" s="31">
        <f>1524</f>
        <v>1524</v>
      </c>
      <c r="L237" s="32" t="s">
        <v>676</v>
      </c>
      <c r="M237" s="31">
        <f>1527</f>
        <v>1527</v>
      </c>
      <c r="N237" s="32" t="s">
        <v>676</v>
      </c>
      <c r="O237" s="31">
        <f>1501</f>
        <v>1501</v>
      </c>
      <c r="P237" s="32" t="s">
        <v>1114</v>
      </c>
      <c r="Q237" s="31">
        <f>1512</f>
        <v>1512</v>
      </c>
      <c r="R237" s="32" t="s">
        <v>1114</v>
      </c>
      <c r="S237" s="33">
        <f>1516</f>
        <v>1516</v>
      </c>
      <c r="T237" s="30">
        <f>185778</f>
        <v>185778</v>
      </c>
      <c r="U237" s="30">
        <f>13130</f>
        <v>13130</v>
      </c>
      <c r="V237" s="30">
        <f>281746820</f>
        <v>281746820</v>
      </c>
      <c r="W237" s="30">
        <f>20006181</f>
        <v>20006181</v>
      </c>
      <c r="X237" s="34">
        <f>3</f>
        <v>3</v>
      </c>
    </row>
    <row r="238" spans="1:24">
      <c r="A238" s="25" t="s">
        <v>1172</v>
      </c>
      <c r="B238" s="25" t="s">
        <v>868</v>
      </c>
      <c r="C238" s="25" t="s">
        <v>869</v>
      </c>
      <c r="D238" s="25" t="s">
        <v>870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2660.5</f>
        <v>2660.5</v>
      </c>
      <c r="L238" s="32" t="s">
        <v>1145</v>
      </c>
      <c r="M238" s="31">
        <f>2807</f>
        <v>2807</v>
      </c>
      <c r="N238" s="32" t="s">
        <v>1114</v>
      </c>
      <c r="O238" s="31">
        <f>2615</f>
        <v>2615</v>
      </c>
      <c r="P238" s="32" t="s">
        <v>674</v>
      </c>
      <c r="Q238" s="31">
        <f>2755.5</f>
        <v>2755.5</v>
      </c>
      <c r="R238" s="32" t="s">
        <v>1114</v>
      </c>
      <c r="S238" s="33">
        <f>2681.55</f>
        <v>2681.55</v>
      </c>
      <c r="T238" s="30">
        <f>119230</f>
        <v>119230</v>
      </c>
      <c r="U238" s="30">
        <f>78500</f>
        <v>78500</v>
      </c>
      <c r="V238" s="30">
        <f>320440052</f>
        <v>320440052</v>
      </c>
      <c r="W238" s="30">
        <f>210240662</f>
        <v>210240662</v>
      </c>
      <c r="X238" s="34">
        <f>20</f>
        <v>20</v>
      </c>
    </row>
    <row r="239" spans="1:24">
      <c r="A239" s="25" t="s">
        <v>1172</v>
      </c>
      <c r="B239" s="25" t="s">
        <v>871</v>
      </c>
      <c r="C239" s="25" t="s">
        <v>872</v>
      </c>
      <c r="D239" s="25" t="s">
        <v>873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1254</f>
        <v>1254</v>
      </c>
      <c r="L239" s="32" t="s">
        <v>1145</v>
      </c>
      <c r="M239" s="31">
        <f>1277</f>
        <v>1277</v>
      </c>
      <c r="N239" s="32" t="s">
        <v>679</v>
      </c>
      <c r="O239" s="31">
        <f>1228</f>
        <v>1228</v>
      </c>
      <c r="P239" s="32" t="s">
        <v>674</v>
      </c>
      <c r="Q239" s="31">
        <f>1270</f>
        <v>1270</v>
      </c>
      <c r="R239" s="32" t="s">
        <v>1114</v>
      </c>
      <c r="S239" s="33">
        <f>1248.05</f>
        <v>1248.05</v>
      </c>
      <c r="T239" s="30">
        <f>921774</f>
        <v>921774</v>
      </c>
      <c r="U239" s="30">
        <f>289000</f>
        <v>289000</v>
      </c>
      <c r="V239" s="30">
        <f>1161294043</f>
        <v>1161294043</v>
      </c>
      <c r="W239" s="30">
        <f>366103100</f>
        <v>366103100</v>
      </c>
      <c r="X239" s="34">
        <f>20</f>
        <v>20</v>
      </c>
    </row>
    <row r="240" spans="1:24">
      <c r="A240" s="25" t="s">
        <v>1172</v>
      </c>
      <c r="B240" s="25" t="s">
        <v>877</v>
      </c>
      <c r="C240" s="25" t="s">
        <v>878</v>
      </c>
      <c r="D240" s="25" t="s">
        <v>879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74400</f>
        <v>74400</v>
      </c>
      <c r="L240" s="32" t="s">
        <v>1145</v>
      </c>
      <c r="M240" s="31">
        <f>80290</f>
        <v>80290</v>
      </c>
      <c r="N240" s="32" t="s">
        <v>1118</v>
      </c>
      <c r="O240" s="31">
        <f>74160</f>
        <v>74160</v>
      </c>
      <c r="P240" s="32" t="s">
        <v>675</v>
      </c>
      <c r="Q240" s="31">
        <f>79650</f>
        <v>79650</v>
      </c>
      <c r="R240" s="32" t="s">
        <v>1114</v>
      </c>
      <c r="S240" s="33">
        <f>77767</f>
        <v>77767</v>
      </c>
      <c r="T240" s="30">
        <f>33441</f>
        <v>33441</v>
      </c>
      <c r="U240" s="30">
        <f>33</f>
        <v>33</v>
      </c>
      <c r="V240" s="30">
        <f>2577276960</f>
        <v>2577276960</v>
      </c>
      <c r="W240" s="30">
        <f>2524310</f>
        <v>2524310</v>
      </c>
      <c r="X240" s="34">
        <f>20</f>
        <v>20</v>
      </c>
    </row>
    <row r="241" spans="1:24">
      <c r="A241" s="25" t="s">
        <v>1172</v>
      </c>
      <c r="B241" s="25" t="s">
        <v>880</v>
      </c>
      <c r="C241" s="25" t="s">
        <v>881</v>
      </c>
      <c r="D241" s="25" t="s">
        <v>882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7535</f>
        <v>7535</v>
      </c>
      <c r="L241" s="32" t="s">
        <v>1145</v>
      </c>
      <c r="M241" s="31">
        <f>7599</f>
        <v>7599</v>
      </c>
      <c r="N241" s="32" t="s">
        <v>1115</v>
      </c>
      <c r="O241" s="31">
        <f>7246</f>
        <v>7246</v>
      </c>
      <c r="P241" s="32" t="s">
        <v>1118</v>
      </c>
      <c r="Q241" s="31">
        <f>7273</f>
        <v>7273</v>
      </c>
      <c r="R241" s="32" t="s">
        <v>1114</v>
      </c>
      <c r="S241" s="33">
        <f>7380.9</f>
        <v>7380.9</v>
      </c>
      <c r="T241" s="30">
        <f>161520</f>
        <v>161520</v>
      </c>
      <c r="U241" s="30">
        <f>114300</f>
        <v>114300</v>
      </c>
      <c r="V241" s="30">
        <f>1183397714</f>
        <v>1183397714</v>
      </c>
      <c r="W241" s="30">
        <f>833433900</f>
        <v>833433900</v>
      </c>
      <c r="X241" s="34">
        <f>20</f>
        <v>20</v>
      </c>
    </row>
    <row r="242" spans="1:24">
      <c r="A242" s="25" t="s">
        <v>1172</v>
      </c>
      <c r="B242" s="25" t="s">
        <v>884</v>
      </c>
      <c r="C242" s="25" t="s">
        <v>885</v>
      </c>
      <c r="D242" s="25" t="s">
        <v>886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10</v>
      </c>
      <c r="K242" s="31">
        <f>16030</f>
        <v>16030</v>
      </c>
      <c r="L242" s="32" t="s">
        <v>1145</v>
      </c>
      <c r="M242" s="31">
        <f>17490</f>
        <v>17490</v>
      </c>
      <c r="N242" s="32" t="s">
        <v>1114</v>
      </c>
      <c r="O242" s="31">
        <f>15995</f>
        <v>15995</v>
      </c>
      <c r="P242" s="32" t="s">
        <v>675</v>
      </c>
      <c r="Q242" s="31">
        <f>17195</f>
        <v>17195</v>
      </c>
      <c r="R242" s="32" t="s">
        <v>1114</v>
      </c>
      <c r="S242" s="33">
        <f>16758.75</f>
        <v>16758.75</v>
      </c>
      <c r="T242" s="30">
        <f>33480</f>
        <v>33480</v>
      </c>
      <c r="U242" s="30">
        <f>90</f>
        <v>90</v>
      </c>
      <c r="V242" s="30">
        <f>561372000</f>
        <v>561372000</v>
      </c>
      <c r="W242" s="30">
        <f>1493250</f>
        <v>1493250</v>
      </c>
      <c r="X242" s="34">
        <f>20</f>
        <v>20</v>
      </c>
    </row>
    <row r="243" spans="1:24">
      <c r="A243" s="25" t="s">
        <v>1172</v>
      </c>
      <c r="B243" s="25" t="s">
        <v>887</v>
      </c>
      <c r="C243" s="25" t="s">
        <v>888</v>
      </c>
      <c r="D243" s="25" t="s">
        <v>889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7584</f>
        <v>7584</v>
      </c>
      <c r="L243" s="32" t="s">
        <v>1145</v>
      </c>
      <c r="M243" s="31">
        <f>7650</f>
        <v>7650</v>
      </c>
      <c r="N243" s="32" t="s">
        <v>684</v>
      </c>
      <c r="O243" s="31">
        <f>7292</f>
        <v>7292</v>
      </c>
      <c r="P243" s="32" t="s">
        <v>1118</v>
      </c>
      <c r="Q243" s="31">
        <f>7307</f>
        <v>7307</v>
      </c>
      <c r="R243" s="32" t="s">
        <v>1114</v>
      </c>
      <c r="S243" s="33">
        <f>7413.4</f>
        <v>7413.4</v>
      </c>
      <c r="T243" s="30">
        <f>39830</f>
        <v>39830</v>
      </c>
      <c r="U243" s="30">
        <f>36000</f>
        <v>36000</v>
      </c>
      <c r="V243" s="30">
        <f>293171255</f>
        <v>293171255</v>
      </c>
      <c r="W243" s="30">
        <f>264738045</f>
        <v>264738045</v>
      </c>
      <c r="X243" s="34">
        <f>20</f>
        <v>20</v>
      </c>
    </row>
    <row r="244" spans="1:24">
      <c r="A244" s="25" t="s">
        <v>1172</v>
      </c>
      <c r="B244" s="25" t="s">
        <v>890</v>
      </c>
      <c r="C244" s="25" t="s">
        <v>891</v>
      </c>
      <c r="D244" s="25" t="s">
        <v>892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678.2</f>
        <v>678.2</v>
      </c>
      <c r="L244" s="32" t="s">
        <v>1145</v>
      </c>
      <c r="M244" s="31">
        <f>703.4</f>
        <v>703.4</v>
      </c>
      <c r="N244" s="32" t="s">
        <v>1114</v>
      </c>
      <c r="O244" s="31">
        <f>669.1</f>
        <v>669.1</v>
      </c>
      <c r="P244" s="32" t="s">
        <v>674</v>
      </c>
      <c r="Q244" s="31">
        <f>701.8</f>
        <v>701.8</v>
      </c>
      <c r="R244" s="32" t="s">
        <v>1114</v>
      </c>
      <c r="S244" s="33">
        <f>683.37</f>
        <v>683.37</v>
      </c>
      <c r="T244" s="30">
        <f>444080</f>
        <v>444080</v>
      </c>
      <c r="U244" s="30">
        <f>520</f>
        <v>520</v>
      </c>
      <c r="V244" s="30">
        <f>307353417</f>
        <v>307353417</v>
      </c>
      <c r="W244" s="30">
        <f>334503</f>
        <v>334503</v>
      </c>
      <c r="X244" s="34">
        <f>20</f>
        <v>20</v>
      </c>
    </row>
    <row r="245" spans="1:24">
      <c r="A245" s="25" t="s">
        <v>1172</v>
      </c>
      <c r="B245" s="25" t="s">
        <v>893</v>
      </c>
      <c r="C245" s="25" t="s">
        <v>894</v>
      </c>
      <c r="D245" s="25" t="s">
        <v>895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547</f>
        <v>547</v>
      </c>
      <c r="L245" s="32" t="s">
        <v>1145</v>
      </c>
      <c r="M245" s="31">
        <f>556.4</f>
        <v>556.4</v>
      </c>
      <c r="N245" s="32" t="s">
        <v>679</v>
      </c>
      <c r="O245" s="31">
        <f>540</f>
        <v>540</v>
      </c>
      <c r="P245" s="32" t="s">
        <v>759</v>
      </c>
      <c r="Q245" s="31">
        <f>550.9</f>
        <v>550.9</v>
      </c>
      <c r="R245" s="32" t="s">
        <v>1114</v>
      </c>
      <c r="S245" s="33">
        <f>548.16</f>
        <v>548.16</v>
      </c>
      <c r="T245" s="30">
        <f>237590</f>
        <v>237590</v>
      </c>
      <c r="U245" s="30">
        <f>520</f>
        <v>520</v>
      </c>
      <c r="V245" s="30">
        <f>130051658</f>
        <v>130051658</v>
      </c>
      <c r="W245" s="30">
        <f>284494</f>
        <v>284494</v>
      </c>
      <c r="X245" s="34">
        <f>20</f>
        <v>20</v>
      </c>
    </row>
    <row r="246" spans="1:24">
      <c r="A246" s="25" t="s">
        <v>1172</v>
      </c>
      <c r="B246" s="25" t="s">
        <v>934</v>
      </c>
      <c r="C246" s="25" t="s">
        <v>935</v>
      </c>
      <c r="D246" s="25" t="s">
        <v>936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1928</f>
        <v>1928</v>
      </c>
      <c r="L246" s="32" t="s">
        <v>1145</v>
      </c>
      <c r="M246" s="31">
        <f>2216</f>
        <v>2216</v>
      </c>
      <c r="N246" s="32" t="s">
        <v>1118</v>
      </c>
      <c r="O246" s="31">
        <f>1899</f>
        <v>1899</v>
      </c>
      <c r="P246" s="32" t="s">
        <v>674</v>
      </c>
      <c r="Q246" s="31">
        <f>2102</f>
        <v>2102</v>
      </c>
      <c r="R246" s="32" t="s">
        <v>1114</v>
      </c>
      <c r="S246" s="33">
        <f>2062.8</f>
        <v>2062.8000000000002</v>
      </c>
      <c r="T246" s="30">
        <f>15287243</f>
        <v>15287243</v>
      </c>
      <c r="U246" s="30">
        <f>1930763</f>
        <v>1930763</v>
      </c>
      <c r="V246" s="30">
        <f>31606546865</f>
        <v>31606546865</v>
      </c>
      <c r="W246" s="30">
        <f>3909299998</f>
        <v>3909299998</v>
      </c>
      <c r="X246" s="34">
        <f>20</f>
        <v>20</v>
      </c>
    </row>
    <row r="247" spans="1:24">
      <c r="A247" s="25" t="s">
        <v>1172</v>
      </c>
      <c r="B247" s="25" t="s">
        <v>937</v>
      </c>
      <c r="C247" s="25" t="s">
        <v>938</v>
      </c>
      <c r="D247" s="25" t="s">
        <v>939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2022</f>
        <v>2022</v>
      </c>
      <c r="L247" s="32" t="s">
        <v>1145</v>
      </c>
      <c r="M247" s="31">
        <f>2288</f>
        <v>2288</v>
      </c>
      <c r="N247" s="32" t="s">
        <v>1114</v>
      </c>
      <c r="O247" s="31">
        <f>2011</f>
        <v>2011</v>
      </c>
      <c r="P247" s="32" t="s">
        <v>674</v>
      </c>
      <c r="Q247" s="31">
        <f>2284</f>
        <v>2284</v>
      </c>
      <c r="R247" s="32" t="s">
        <v>1114</v>
      </c>
      <c r="S247" s="33">
        <f>2167.5</f>
        <v>2167.5</v>
      </c>
      <c r="T247" s="30">
        <f>12893835</f>
        <v>12893835</v>
      </c>
      <c r="U247" s="30">
        <f>94445</f>
        <v>94445</v>
      </c>
      <c r="V247" s="30">
        <f>28133641231</f>
        <v>28133641231</v>
      </c>
      <c r="W247" s="30">
        <f>209805028</f>
        <v>209805028</v>
      </c>
      <c r="X247" s="34">
        <f>20</f>
        <v>20</v>
      </c>
    </row>
    <row r="248" spans="1:24">
      <c r="A248" s="25" t="s">
        <v>1172</v>
      </c>
      <c r="B248" s="25" t="s">
        <v>940</v>
      </c>
      <c r="C248" s="25" t="s">
        <v>941</v>
      </c>
      <c r="D248" s="25" t="s">
        <v>942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769.4</f>
        <v>769.4</v>
      </c>
      <c r="L248" s="32" t="s">
        <v>1145</v>
      </c>
      <c r="M248" s="31">
        <f>780.9</f>
        <v>780.9</v>
      </c>
      <c r="N248" s="32" t="s">
        <v>1114</v>
      </c>
      <c r="O248" s="31">
        <f>751.7</f>
        <v>751.7</v>
      </c>
      <c r="P248" s="32" t="s">
        <v>1124</v>
      </c>
      <c r="Q248" s="31">
        <f>780.9</f>
        <v>780.9</v>
      </c>
      <c r="R248" s="32" t="s">
        <v>1114</v>
      </c>
      <c r="S248" s="33">
        <f>771.01</f>
        <v>771.01</v>
      </c>
      <c r="T248" s="30">
        <f>8830</f>
        <v>8830</v>
      </c>
      <c r="U248" s="30" t="str">
        <f>"－"</f>
        <v>－</v>
      </c>
      <c r="V248" s="30">
        <f>6794439</f>
        <v>6794439</v>
      </c>
      <c r="W248" s="30" t="str">
        <f>"－"</f>
        <v>－</v>
      </c>
      <c r="X248" s="34">
        <f>11</f>
        <v>11</v>
      </c>
    </row>
    <row r="249" spans="1:24">
      <c r="A249" s="25" t="s">
        <v>1172</v>
      </c>
      <c r="B249" s="25" t="s">
        <v>943</v>
      </c>
      <c r="C249" s="25" t="s">
        <v>944</v>
      </c>
      <c r="D249" s="25" t="s">
        <v>945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772.5</f>
        <v>772.5</v>
      </c>
      <c r="L249" s="32" t="s">
        <v>1124</v>
      </c>
      <c r="M249" s="31">
        <f>782</f>
        <v>782</v>
      </c>
      <c r="N249" s="32" t="s">
        <v>684</v>
      </c>
      <c r="O249" s="31">
        <f>758.3</f>
        <v>758.3</v>
      </c>
      <c r="P249" s="32" t="s">
        <v>1114</v>
      </c>
      <c r="Q249" s="31">
        <f>758.3</f>
        <v>758.3</v>
      </c>
      <c r="R249" s="32" t="s">
        <v>1114</v>
      </c>
      <c r="S249" s="33">
        <f>763.75</f>
        <v>763.75</v>
      </c>
      <c r="T249" s="30">
        <f>114530</f>
        <v>114530</v>
      </c>
      <c r="U249" s="30" t="str">
        <f>"－"</f>
        <v>－</v>
      </c>
      <c r="V249" s="30">
        <f>87357423</f>
        <v>87357423</v>
      </c>
      <c r="W249" s="30" t="str">
        <f>"－"</f>
        <v>－</v>
      </c>
      <c r="X249" s="34">
        <f>10</f>
        <v>10</v>
      </c>
    </row>
    <row r="250" spans="1:24">
      <c r="A250" s="25" t="s">
        <v>1172</v>
      </c>
      <c r="B250" s="25" t="s">
        <v>952</v>
      </c>
      <c r="C250" s="25" t="s">
        <v>953</v>
      </c>
      <c r="D250" s="25" t="s">
        <v>954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15600</f>
        <v>15600</v>
      </c>
      <c r="L250" s="32" t="s">
        <v>1145</v>
      </c>
      <c r="M250" s="31">
        <f>16850</f>
        <v>16850</v>
      </c>
      <c r="N250" s="32" t="s">
        <v>1114</v>
      </c>
      <c r="O250" s="31">
        <f>15435</f>
        <v>15435</v>
      </c>
      <c r="P250" s="32" t="s">
        <v>674</v>
      </c>
      <c r="Q250" s="31">
        <f>16620</f>
        <v>16620</v>
      </c>
      <c r="R250" s="32" t="s">
        <v>1114</v>
      </c>
      <c r="S250" s="33">
        <f>16060.5</f>
        <v>16060.5</v>
      </c>
      <c r="T250" s="30">
        <f>100608</f>
        <v>100608</v>
      </c>
      <c r="U250" s="30">
        <f>18</f>
        <v>18</v>
      </c>
      <c r="V250" s="30">
        <f>1628601355</f>
        <v>1628601355</v>
      </c>
      <c r="W250" s="30">
        <f>282140</f>
        <v>282140</v>
      </c>
      <c r="X250" s="34">
        <f>20</f>
        <v>20</v>
      </c>
    </row>
    <row r="251" spans="1:24">
      <c r="A251" s="25" t="s">
        <v>1172</v>
      </c>
      <c r="B251" s="25" t="s">
        <v>955</v>
      </c>
      <c r="C251" s="25" t="s">
        <v>956</v>
      </c>
      <c r="D251" s="25" t="s">
        <v>957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41850</f>
        <v>41850</v>
      </c>
      <c r="L251" s="32" t="s">
        <v>1145</v>
      </c>
      <c r="M251" s="31">
        <f>44020</f>
        <v>44020</v>
      </c>
      <c r="N251" s="32" t="s">
        <v>1112</v>
      </c>
      <c r="O251" s="31">
        <f>41670</f>
        <v>41670</v>
      </c>
      <c r="P251" s="32" t="s">
        <v>674</v>
      </c>
      <c r="Q251" s="31">
        <f>43060</f>
        <v>43060</v>
      </c>
      <c r="R251" s="32" t="s">
        <v>1111</v>
      </c>
      <c r="S251" s="33">
        <f>42697.06</f>
        <v>42697.06</v>
      </c>
      <c r="T251" s="30">
        <f>53712</f>
        <v>53712</v>
      </c>
      <c r="U251" s="30">
        <f>40091</f>
        <v>40091</v>
      </c>
      <c r="V251" s="30">
        <f>2280358964</f>
        <v>2280358964</v>
      </c>
      <c r="W251" s="30">
        <f>1700113144</f>
        <v>1700113144</v>
      </c>
      <c r="X251" s="34">
        <f>17</f>
        <v>17</v>
      </c>
    </row>
    <row r="252" spans="1:24">
      <c r="A252" s="25" t="s">
        <v>1172</v>
      </c>
      <c r="B252" s="25" t="s">
        <v>958</v>
      </c>
      <c r="C252" s="25" t="s">
        <v>959</v>
      </c>
      <c r="D252" s="25" t="s">
        <v>960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20800</f>
        <v>20800</v>
      </c>
      <c r="L252" s="32" t="s">
        <v>1145</v>
      </c>
      <c r="M252" s="31">
        <f>20920</f>
        <v>20920</v>
      </c>
      <c r="N252" s="32" t="s">
        <v>674</v>
      </c>
      <c r="O252" s="31">
        <f>19215</f>
        <v>19215</v>
      </c>
      <c r="P252" s="32" t="s">
        <v>1118</v>
      </c>
      <c r="Q252" s="31">
        <f>19365</f>
        <v>19365</v>
      </c>
      <c r="R252" s="32" t="s">
        <v>1114</v>
      </c>
      <c r="S252" s="33">
        <f>19895.5</f>
        <v>19895.5</v>
      </c>
      <c r="T252" s="30">
        <f>44493</f>
        <v>44493</v>
      </c>
      <c r="U252" s="30" t="str">
        <f>"－"</f>
        <v>－</v>
      </c>
      <c r="V252" s="30">
        <f>900321610</f>
        <v>900321610</v>
      </c>
      <c r="W252" s="30" t="str">
        <f>"－"</f>
        <v>－</v>
      </c>
      <c r="X252" s="34">
        <f>20</f>
        <v>20</v>
      </c>
    </row>
    <row r="253" spans="1:24">
      <c r="A253" s="25" t="s">
        <v>1172</v>
      </c>
      <c r="B253" s="25" t="s">
        <v>961</v>
      </c>
      <c r="C253" s="25" t="s">
        <v>962</v>
      </c>
      <c r="D253" s="25" t="s">
        <v>963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241.4</f>
        <v>241.4</v>
      </c>
      <c r="L253" s="32" t="s">
        <v>1145</v>
      </c>
      <c r="M253" s="31">
        <f>251.9</f>
        <v>251.9</v>
      </c>
      <c r="N253" s="32" t="s">
        <v>684</v>
      </c>
      <c r="O253" s="31">
        <f>235.5</f>
        <v>235.5</v>
      </c>
      <c r="P253" s="32" t="s">
        <v>682</v>
      </c>
      <c r="Q253" s="31">
        <f>249.3</f>
        <v>249.3</v>
      </c>
      <c r="R253" s="32" t="s">
        <v>1114</v>
      </c>
      <c r="S253" s="33">
        <f>242.19</f>
        <v>242.19</v>
      </c>
      <c r="T253" s="30">
        <f>8840</f>
        <v>8840</v>
      </c>
      <c r="U253" s="30" t="str">
        <f>"－"</f>
        <v>－</v>
      </c>
      <c r="V253" s="30">
        <f>2139879</f>
        <v>2139879</v>
      </c>
      <c r="W253" s="30" t="str">
        <f>"－"</f>
        <v>－</v>
      </c>
      <c r="X253" s="34">
        <f>19</f>
        <v>19</v>
      </c>
    </row>
    <row r="254" spans="1:24">
      <c r="A254" s="25" t="s">
        <v>1172</v>
      </c>
      <c r="B254" s="25" t="s">
        <v>964</v>
      </c>
      <c r="C254" s="25" t="s">
        <v>965</v>
      </c>
      <c r="D254" s="25" t="s">
        <v>966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780.9</f>
        <v>780.9</v>
      </c>
      <c r="L254" s="32" t="s">
        <v>1145</v>
      </c>
      <c r="M254" s="31">
        <f>785</f>
        <v>785</v>
      </c>
      <c r="N254" s="32" t="s">
        <v>1111</v>
      </c>
      <c r="O254" s="31">
        <f>759.3</f>
        <v>759.3</v>
      </c>
      <c r="P254" s="32" t="s">
        <v>678</v>
      </c>
      <c r="Q254" s="31">
        <f>774.2</f>
        <v>774.2</v>
      </c>
      <c r="R254" s="32" t="s">
        <v>1114</v>
      </c>
      <c r="S254" s="33">
        <f>768.53</f>
        <v>768.53</v>
      </c>
      <c r="T254" s="30">
        <f>6050840</f>
        <v>6050840</v>
      </c>
      <c r="U254" s="30">
        <f>5590380</f>
        <v>5590380</v>
      </c>
      <c r="V254" s="30">
        <f>4654204386</f>
        <v>4654204386</v>
      </c>
      <c r="W254" s="30">
        <f>4298593331</f>
        <v>4298593331</v>
      </c>
      <c r="X254" s="34">
        <f>20</f>
        <v>20</v>
      </c>
    </row>
    <row r="255" spans="1:24">
      <c r="A255" s="25" t="s">
        <v>1172</v>
      </c>
      <c r="B255" s="25" t="s">
        <v>982</v>
      </c>
      <c r="C255" s="25" t="s">
        <v>983</v>
      </c>
      <c r="D255" s="25" t="s">
        <v>984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</v>
      </c>
      <c r="K255" s="31">
        <f>1182</f>
        <v>1182</v>
      </c>
      <c r="L255" s="32" t="s">
        <v>1145</v>
      </c>
      <c r="M255" s="31">
        <f>1192</f>
        <v>1192</v>
      </c>
      <c r="N255" s="32" t="s">
        <v>1114</v>
      </c>
      <c r="O255" s="31">
        <f>1142</f>
        <v>1142</v>
      </c>
      <c r="P255" s="32" t="s">
        <v>759</v>
      </c>
      <c r="Q255" s="31">
        <f>1191</f>
        <v>1191</v>
      </c>
      <c r="R255" s="32" t="s">
        <v>1114</v>
      </c>
      <c r="S255" s="33">
        <f>1171.65</f>
        <v>1171.6500000000001</v>
      </c>
      <c r="T255" s="30">
        <f>147146</f>
        <v>147146</v>
      </c>
      <c r="U255" s="30" t="str">
        <f>"－"</f>
        <v>－</v>
      </c>
      <c r="V255" s="30">
        <f>172615794</f>
        <v>172615794</v>
      </c>
      <c r="W255" s="30" t="str">
        <f>"－"</f>
        <v>－</v>
      </c>
      <c r="X255" s="34">
        <f>20</f>
        <v>20</v>
      </c>
    </row>
    <row r="256" spans="1:24">
      <c r="A256" s="25" t="s">
        <v>1172</v>
      </c>
      <c r="B256" s="25" t="s">
        <v>985</v>
      </c>
      <c r="C256" s="25" t="s">
        <v>986</v>
      </c>
      <c r="D256" s="25" t="s">
        <v>987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</v>
      </c>
      <c r="K256" s="31">
        <f>1180</f>
        <v>1180</v>
      </c>
      <c r="L256" s="32" t="s">
        <v>1145</v>
      </c>
      <c r="M256" s="31">
        <f>1187</f>
        <v>1187</v>
      </c>
      <c r="N256" s="32" t="s">
        <v>1114</v>
      </c>
      <c r="O256" s="31">
        <f>1140</f>
        <v>1140</v>
      </c>
      <c r="P256" s="32" t="s">
        <v>682</v>
      </c>
      <c r="Q256" s="31">
        <f>1184</f>
        <v>1184</v>
      </c>
      <c r="R256" s="32" t="s">
        <v>1114</v>
      </c>
      <c r="S256" s="33">
        <f>1162.75</f>
        <v>1162.75</v>
      </c>
      <c r="T256" s="30">
        <f>166478</f>
        <v>166478</v>
      </c>
      <c r="U256" s="30">
        <f>105</f>
        <v>105</v>
      </c>
      <c r="V256" s="30">
        <f>194649587</f>
        <v>194649587</v>
      </c>
      <c r="W256" s="30">
        <f>129628</f>
        <v>129628</v>
      </c>
      <c r="X256" s="34">
        <f>20</f>
        <v>20</v>
      </c>
    </row>
    <row r="257" spans="1:24">
      <c r="A257" s="25" t="s">
        <v>1172</v>
      </c>
      <c r="B257" s="25" t="s">
        <v>988</v>
      </c>
      <c r="C257" s="25" t="s">
        <v>989</v>
      </c>
      <c r="D257" s="25" t="s">
        <v>990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831</f>
        <v>831</v>
      </c>
      <c r="L257" s="32" t="s">
        <v>1145</v>
      </c>
      <c r="M257" s="31">
        <f>844</f>
        <v>844</v>
      </c>
      <c r="N257" s="32" t="s">
        <v>1124</v>
      </c>
      <c r="O257" s="31">
        <f>744</f>
        <v>744</v>
      </c>
      <c r="P257" s="32" t="s">
        <v>1114</v>
      </c>
      <c r="Q257" s="31">
        <f>773</f>
        <v>773</v>
      </c>
      <c r="R257" s="32" t="s">
        <v>1114</v>
      </c>
      <c r="S257" s="33">
        <f>797.95</f>
        <v>797.95</v>
      </c>
      <c r="T257" s="30">
        <f>327693</f>
        <v>327693</v>
      </c>
      <c r="U257" s="30" t="str">
        <f>"－"</f>
        <v>－</v>
      </c>
      <c r="V257" s="30">
        <f>261177997</f>
        <v>261177997</v>
      </c>
      <c r="W257" s="30" t="str">
        <f>"－"</f>
        <v>－</v>
      </c>
      <c r="X257" s="34">
        <f>20</f>
        <v>20</v>
      </c>
    </row>
    <row r="258" spans="1:24">
      <c r="A258" s="25" t="s">
        <v>1172</v>
      </c>
      <c r="B258" s="25" t="s">
        <v>1059</v>
      </c>
      <c r="C258" s="25" t="s">
        <v>1060</v>
      </c>
      <c r="D258" s="25" t="s">
        <v>1061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214.7</f>
        <v>214.7</v>
      </c>
      <c r="L258" s="32" t="s">
        <v>1145</v>
      </c>
      <c r="M258" s="31">
        <f>229.2</f>
        <v>229.2</v>
      </c>
      <c r="N258" s="32" t="s">
        <v>679</v>
      </c>
      <c r="O258" s="31">
        <f>214.4</f>
        <v>214.4</v>
      </c>
      <c r="P258" s="32" t="s">
        <v>1145</v>
      </c>
      <c r="Q258" s="31">
        <f>227.1</f>
        <v>227.1</v>
      </c>
      <c r="R258" s="32" t="s">
        <v>1114</v>
      </c>
      <c r="S258" s="33">
        <f>222.46</f>
        <v>222.46</v>
      </c>
      <c r="T258" s="30">
        <f>11463230</f>
        <v>11463230</v>
      </c>
      <c r="U258" s="30">
        <f>185120</f>
        <v>185120</v>
      </c>
      <c r="V258" s="30">
        <f>2541846475</f>
        <v>2541846475</v>
      </c>
      <c r="W258" s="30">
        <f>42088207</f>
        <v>42088207</v>
      </c>
      <c r="X258" s="34">
        <f>20</f>
        <v>20</v>
      </c>
    </row>
    <row r="259" spans="1:24">
      <c r="A259" s="25" t="s">
        <v>1172</v>
      </c>
      <c r="B259" s="25" t="s">
        <v>1062</v>
      </c>
      <c r="C259" s="25" t="s">
        <v>1063</v>
      </c>
      <c r="D259" s="25" t="s">
        <v>1064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215.2</f>
        <v>215.2</v>
      </c>
      <c r="L259" s="32" t="s">
        <v>1145</v>
      </c>
      <c r="M259" s="31">
        <f>223.8</f>
        <v>223.8</v>
      </c>
      <c r="N259" s="32" t="s">
        <v>1114</v>
      </c>
      <c r="O259" s="31">
        <f>214.1</f>
        <v>214.1</v>
      </c>
      <c r="P259" s="32" t="s">
        <v>674</v>
      </c>
      <c r="Q259" s="31">
        <f>223</f>
        <v>223</v>
      </c>
      <c r="R259" s="32" t="s">
        <v>1114</v>
      </c>
      <c r="S259" s="33">
        <f>218.47</f>
        <v>218.47</v>
      </c>
      <c r="T259" s="30">
        <f>1006550</f>
        <v>1006550</v>
      </c>
      <c r="U259" s="30">
        <f>40</f>
        <v>40</v>
      </c>
      <c r="V259" s="30">
        <f>219670995</f>
        <v>219670995</v>
      </c>
      <c r="W259" s="30">
        <f>8584</f>
        <v>8584</v>
      </c>
      <c r="X259" s="34">
        <f>20</f>
        <v>20</v>
      </c>
    </row>
    <row r="260" spans="1:24">
      <c r="A260" s="25" t="s">
        <v>1172</v>
      </c>
      <c r="B260" s="25" t="s">
        <v>1065</v>
      </c>
      <c r="C260" s="25" t="s">
        <v>1066</v>
      </c>
      <c r="D260" s="25" t="s">
        <v>1067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217.5</f>
        <v>217.5</v>
      </c>
      <c r="L260" s="32" t="s">
        <v>1145</v>
      </c>
      <c r="M260" s="31">
        <f>229</f>
        <v>229</v>
      </c>
      <c r="N260" s="32" t="s">
        <v>676</v>
      </c>
      <c r="O260" s="31">
        <f>215.3</f>
        <v>215.3</v>
      </c>
      <c r="P260" s="32" t="s">
        <v>1145</v>
      </c>
      <c r="Q260" s="31">
        <f>224.4</f>
        <v>224.4</v>
      </c>
      <c r="R260" s="32" t="s">
        <v>1114</v>
      </c>
      <c r="S260" s="33">
        <f>220.06</f>
        <v>220.06</v>
      </c>
      <c r="T260" s="30">
        <f>361950</f>
        <v>361950</v>
      </c>
      <c r="U260" s="30">
        <f>1480</f>
        <v>1480</v>
      </c>
      <c r="V260" s="30">
        <f>79907003</f>
        <v>79907003</v>
      </c>
      <c r="W260" s="30">
        <f>302165</f>
        <v>302165</v>
      </c>
      <c r="X260" s="34">
        <f>20</f>
        <v>20</v>
      </c>
    </row>
    <row r="261" spans="1:24">
      <c r="A261" s="25" t="s">
        <v>1172</v>
      </c>
      <c r="B261" s="25" t="s">
        <v>1068</v>
      </c>
      <c r="C261" s="25" t="s">
        <v>1069</v>
      </c>
      <c r="D261" s="25" t="s">
        <v>1070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218</f>
        <v>218</v>
      </c>
      <c r="L261" s="32" t="s">
        <v>1145</v>
      </c>
      <c r="M261" s="31">
        <f>240.1</f>
        <v>240.1</v>
      </c>
      <c r="N261" s="32" t="s">
        <v>676</v>
      </c>
      <c r="O261" s="31">
        <f>216.7</f>
        <v>216.7</v>
      </c>
      <c r="P261" s="32" t="s">
        <v>674</v>
      </c>
      <c r="Q261" s="31">
        <f>226</f>
        <v>226</v>
      </c>
      <c r="R261" s="32" t="s">
        <v>1114</v>
      </c>
      <c r="S261" s="33">
        <f>221.22</f>
        <v>221.22</v>
      </c>
      <c r="T261" s="30">
        <f>450240</f>
        <v>450240</v>
      </c>
      <c r="U261" s="30">
        <f>5040</f>
        <v>5040</v>
      </c>
      <c r="V261" s="30">
        <f>100205461</f>
        <v>100205461</v>
      </c>
      <c r="W261" s="30">
        <f>1090522</f>
        <v>1090522</v>
      </c>
      <c r="X261" s="34">
        <f>20</f>
        <v>20</v>
      </c>
    </row>
    <row r="262" spans="1:24">
      <c r="A262" s="25" t="s">
        <v>1172</v>
      </c>
      <c r="B262" s="25" t="s">
        <v>1071</v>
      </c>
      <c r="C262" s="25" t="s">
        <v>1072</v>
      </c>
      <c r="D262" s="25" t="s">
        <v>1073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197.7</f>
        <v>197.7</v>
      </c>
      <c r="L262" s="32" t="s">
        <v>1145</v>
      </c>
      <c r="M262" s="31">
        <f>210.5</f>
        <v>210.5</v>
      </c>
      <c r="N262" s="32" t="s">
        <v>682</v>
      </c>
      <c r="O262" s="31">
        <f>195.1</f>
        <v>195.1</v>
      </c>
      <c r="P262" s="32" t="s">
        <v>1114</v>
      </c>
      <c r="Q262" s="31">
        <f>196.7</f>
        <v>196.7</v>
      </c>
      <c r="R262" s="32" t="s">
        <v>1114</v>
      </c>
      <c r="S262" s="33">
        <f>197.74</f>
        <v>197.74</v>
      </c>
      <c r="T262" s="30">
        <f>1847540</f>
        <v>1847540</v>
      </c>
      <c r="U262" s="30">
        <f>1112210</f>
        <v>1112210</v>
      </c>
      <c r="V262" s="30">
        <f>365511943</f>
        <v>365511943</v>
      </c>
      <c r="W262" s="30">
        <f>219706891</f>
        <v>219706891</v>
      </c>
      <c r="X262" s="34">
        <f>20</f>
        <v>20</v>
      </c>
    </row>
    <row r="263" spans="1:24">
      <c r="A263" s="25" t="s">
        <v>1172</v>
      </c>
      <c r="B263" s="25" t="s">
        <v>539</v>
      </c>
      <c r="C263" s="25" t="s">
        <v>540</v>
      </c>
      <c r="D263" s="25" t="s">
        <v>541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904.6</f>
        <v>904.6</v>
      </c>
      <c r="L263" s="32" t="s">
        <v>1145</v>
      </c>
      <c r="M263" s="31">
        <f>914.5</f>
        <v>914.5</v>
      </c>
      <c r="N263" s="32" t="s">
        <v>682</v>
      </c>
      <c r="O263" s="31">
        <f>901</f>
        <v>901</v>
      </c>
      <c r="P263" s="32" t="s">
        <v>675</v>
      </c>
      <c r="Q263" s="31">
        <f>904.7</f>
        <v>904.7</v>
      </c>
      <c r="R263" s="32" t="s">
        <v>1114</v>
      </c>
      <c r="S263" s="33">
        <f>907.43</f>
        <v>907.43</v>
      </c>
      <c r="T263" s="30">
        <f>11064530</f>
        <v>11064530</v>
      </c>
      <c r="U263" s="30">
        <f>10198690</f>
        <v>10198690</v>
      </c>
      <c r="V263" s="30">
        <f>10036616436</f>
        <v>10036616436</v>
      </c>
      <c r="W263" s="30">
        <f>9251285266</f>
        <v>9251285266</v>
      </c>
      <c r="X263" s="34">
        <f>20</f>
        <v>20</v>
      </c>
    </row>
    <row r="264" spans="1:24">
      <c r="A264" s="25" t="s">
        <v>1172</v>
      </c>
      <c r="B264" s="25" t="s">
        <v>542</v>
      </c>
      <c r="C264" s="25" t="s">
        <v>543</v>
      </c>
      <c r="D264" s="25" t="s">
        <v>544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10</v>
      </c>
      <c r="K264" s="31">
        <f>1116</f>
        <v>1116</v>
      </c>
      <c r="L264" s="32" t="s">
        <v>1145</v>
      </c>
      <c r="M264" s="31">
        <f>1149</f>
        <v>1149</v>
      </c>
      <c r="N264" s="32" t="s">
        <v>1114</v>
      </c>
      <c r="O264" s="31">
        <f>1111.5</f>
        <v>1111.5</v>
      </c>
      <c r="P264" s="32" t="s">
        <v>674</v>
      </c>
      <c r="Q264" s="31">
        <f>1148.5</f>
        <v>1148.5</v>
      </c>
      <c r="R264" s="32" t="s">
        <v>1114</v>
      </c>
      <c r="S264" s="33">
        <f>1128.4</f>
        <v>1128.4000000000001</v>
      </c>
      <c r="T264" s="30">
        <f>4778950</f>
        <v>4778950</v>
      </c>
      <c r="U264" s="30">
        <f>3466520</f>
        <v>3466520</v>
      </c>
      <c r="V264" s="30">
        <f>5426353432</f>
        <v>5426353432</v>
      </c>
      <c r="W264" s="30">
        <f>3947140132</f>
        <v>3947140132</v>
      </c>
      <c r="X264" s="34">
        <f>20</f>
        <v>20</v>
      </c>
    </row>
    <row r="265" spans="1:24">
      <c r="A265" s="25" t="s">
        <v>1172</v>
      </c>
      <c r="B265" s="25" t="s">
        <v>545</v>
      </c>
      <c r="C265" s="25" t="s">
        <v>546</v>
      </c>
      <c r="D265" s="25" t="s">
        <v>547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771</f>
        <v>771</v>
      </c>
      <c r="L265" s="32" t="s">
        <v>1145</v>
      </c>
      <c r="M265" s="31">
        <f>793</f>
        <v>793</v>
      </c>
      <c r="N265" s="32" t="s">
        <v>675</v>
      </c>
      <c r="O265" s="31">
        <f>771</f>
        <v>771</v>
      </c>
      <c r="P265" s="32" t="s">
        <v>1145</v>
      </c>
      <c r="Q265" s="31">
        <f>778.7</f>
        <v>778.7</v>
      </c>
      <c r="R265" s="32" t="s">
        <v>1114</v>
      </c>
      <c r="S265" s="33">
        <f>779.24</f>
        <v>779.24</v>
      </c>
      <c r="T265" s="30">
        <f>15793690</f>
        <v>15793690</v>
      </c>
      <c r="U265" s="30">
        <f>14740480</f>
        <v>14740480</v>
      </c>
      <c r="V265" s="30">
        <f>12276309444</f>
        <v>12276309444</v>
      </c>
      <c r="W265" s="30">
        <f>11455966539</f>
        <v>11455966539</v>
      </c>
      <c r="X265" s="34">
        <f>20</f>
        <v>20</v>
      </c>
    </row>
    <row r="266" spans="1:24">
      <c r="A266" s="25" t="s">
        <v>1172</v>
      </c>
      <c r="B266" s="25" t="s">
        <v>548</v>
      </c>
      <c r="C266" s="25" t="s">
        <v>549</v>
      </c>
      <c r="D266" s="25" t="s">
        <v>550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2491</f>
        <v>2491</v>
      </c>
      <c r="L266" s="32" t="s">
        <v>1145</v>
      </c>
      <c r="M266" s="31">
        <f>2617</f>
        <v>2617</v>
      </c>
      <c r="N266" s="32" t="s">
        <v>1114</v>
      </c>
      <c r="O266" s="31">
        <f>2458.5</f>
        <v>2458.5</v>
      </c>
      <c r="P266" s="32" t="s">
        <v>674</v>
      </c>
      <c r="Q266" s="31">
        <f>2613.5</f>
        <v>2613.5</v>
      </c>
      <c r="R266" s="32" t="s">
        <v>1114</v>
      </c>
      <c r="S266" s="33">
        <f>2541.1</f>
        <v>2541.1</v>
      </c>
      <c r="T266" s="30">
        <f>1594640</f>
        <v>1594640</v>
      </c>
      <c r="U266" s="30">
        <f>1229830</f>
        <v>1229830</v>
      </c>
      <c r="V266" s="30">
        <f>4073166717</f>
        <v>4073166717</v>
      </c>
      <c r="W266" s="30">
        <f>3147052757</f>
        <v>3147052757</v>
      </c>
      <c r="X266" s="34">
        <f>20</f>
        <v>20</v>
      </c>
    </row>
    <row r="267" spans="1:24">
      <c r="A267" s="25" t="s">
        <v>1172</v>
      </c>
      <c r="B267" s="25" t="s">
        <v>551</v>
      </c>
      <c r="C267" s="25" t="s">
        <v>552</v>
      </c>
      <c r="D267" s="25" t="s">
        <v>553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1565.5</f>
        <v>1565.5</v>
      </c>
      <c r="L267" s="32" t="s">
        <v>1145</v>
      </c>
      <c r="M267" s="31">
        <f>1608</f>
        <v>1608</v>
      </c>
      <c r="N267" s="32" t="s">
        <v>1114</v>
      </c>
      <c r="O267" s="31">
        <f>1565</f>
        <v>1565</v>
      </c>
      <c r="P267" s="32" t="s">
        <v>675</v>
      </c>
      <c r="Q267" s="31">
        <f>1606</f>
        <v>1606</v>
      </c>
      <c r="R267" s="32" t="s">
        <v>1114</v>
      </c>
      <c r="S267" s="33">
        <f>1589.53</f>
        <v>1589.53</v>
      </c>
      <c r="T267" s="30">
        <f>923490</f>
        <v>923490</v>
      </c>
      <c r="U267" s="30">
        <f>848390</f>
        <v>848390</v>
      </c>
      <c r="V267" s="30">
        <f>1463169492</f>
        <v>1463169492</v>
      </c>
      <c r="W267" s="30">
        <f>1344078412</f>
        <v>1344078412</v>
      </c>
      <c r="X267" s="34">
        <f>20</f>
        <v>20</v>
      </c>
    </row>
    <row r="268" spans="1:24">
      <c r="A268" s="25" t="s">
        <v>1172</v>
      </c>
      <c r="B268" s="25" t="s">
        <v>554</v>
      </c>
      <c r="C268" s="25" t="s">
        <v>555</v>
      </c>
      <c r="D268" s="25" t="s">
        <v>556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1383</f>
        <v>1383</v>
      </c>
      <c r="L268" s="32" t="s">
        <v>1145</v>
      </c>
      <c r="M268" s="31">
        <f>1415</f>
        <v>1415</v>
      </c>
      <c r="N268" s="32" t="s">
        <v>1114</v>
      </c>
      <c r="O268" s="31">
        <f>1358.5</f>
        <v>1358.5</v>
      </c>
      <c r="P268" s="32" t="s">
        <v>677</v>
      </c>
      <c r="Q268" s="31">
        <f>1413</f>
        <v>1413</v>
      </c>
      <c r="R268" s="32" t="s">
        <v>1114</v>
      </c>
      <c r="S268" s="33">
        <f>1382.55</f>
        <v>1382.55</v>
      </c>
      <c r="T268" s="30">
        <f>532120</f>
        <v>532120</v>
      </c>
      <c r="U268" s="30">
        <f>25220</f>
        <v>25220</v>
      </c>
      <c r="V268" s="30">
        <f>735896539</f>
        <v>735896539</v>
      </c>
      <c r="W268" s="30">
        <f>35382934</f>
        <v>35382934</v>
      </c>
      <c r="X268" s="34">
        <f>20</f>
        <v>20</v>
      </c>
    </row>
    <row r="269" spans="1:24">
      <c r="A269" s="25" t="s">
        <v>1172</v>
      </c>
      <c r="B269" s="25" t="s">
        <v>557</v>
      </c>
      <c r="C269" s="25" t="s">
        <v>1074</v>
      </c>
      <c r="D269" s="25" t="s">
        <v>1075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482.4</f>
        <v>482.4</v>
      </c>
      <c r="L269" s="32" t="s">
        <v>1145</v>
      </c>
      <c r="M269" s="31">
        <f>522</f>
        <v>522</v>
      </c>
      <c r="N269" s="32" t="s">
        <v>1114</v>
      </c>
      <c r="O269" s="31">
        <f>477.4</f>
        <v>477.4</v>
      </c>
      <c r="P269" s="32" t="s">
        <v>1115</v>
      </c>
      <c r="Q269" s="31">
        <f>515.6</f>
        <v>515.6</v>
      </c>
      <c r="R269" s="32" t="s">
        <v>1114</v>
      </c>
      <c r="S269" s="33">
        <f>495.87</f>
        <v>495.87</v>
      </c>
      <c r="T269" s="30">
        <f>25702010</f>
        <v>25702010</v>
      </c>
      <c r="U269" s="30">
        <f>649230</f>
        <v>649230</v>
      </c>
      <c r="V269" s="30">
        <f>12753923915</f>
        <v>12753923915</v>
      </c>
      <c r="W269" s="30">
        <f>333426129</f>
        <v>333426129</v>
      </c>
      <c r="X269" s="34">
        <f>20</f>
        <v>20</v>
      </c>
    </row>
    <row r="270" spans="1:24">
      <c r="A270" s="25" t="s">
        <v>1172</v>
      </c>
      <c r="B270" s="25" t="s">
        <v>558</v>
      </c>
      <c r="C270" s="25" t="s">
        <v>559</v>
      </c>
      <c r="D270" s="25" t="s">
        <v>560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1049.5</f>
        <v>1049.5</v>
      </c>
      <c r="L270" s="32" t="s">
        <v>1145</v>
      </c>
      <c r="M270" s="31">
        <f>1058</f>
        <v>1058</v>
      </c>
      <c r="N270" s="32" t="s">
        <v>676</v>
      </c>
      <c r="O270" s="31">
        <f>1032.5</f>
        <v>1032.5</v>
      </c>
      <c r="P270" s="32" t="s">
        <v>678</v>
      </c>
      <c r="Q270" s="31">
        <f>1048</f>
        <v>1048</v>
      </c>
      <c r="R270" s="32" t="s">
        <v>1114</v>
      </c>
      <c r="S270" s="33">
        <f>1046.45</f>
        <v>1046.45</v>
      </c>
      <c r="T270" s="30">
        <f>625290</f>
        <v>625290</v>
      </c>
      <c r="U270" s="30">
        <f>471120</f>
        <v>471120</v>
      </c>
      <c r="V270" s="30">
        <f>653593262</f>
        <v>653593262</v>
      </c>
      <c r="W270" s="30">
        <f>492310797</f>
        <v>492310797</v>
      </c>
      <c r="X270" s="34">
        <f>20</f>
        <v>20</v>
      </c>
    </row>
    <row r="271" spans="1:24">
      <c r="A271" s="25" t="s">
        <v>1172</v>
      </c>
      <c r="B271" s="25" t="s">
        <v>561</v>
      </c>
      <c r="C271" s="25" t="s">
        <v>562</v>
      </c>
      <c r="D271" s="25" t="s">
        <v>563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</v>
      </c>
      <c r="K271" s="31">
        <f>1573</f>
        <v>1573</v>
      </c>
      <c r="L271" s="32" t="s">
        <v>1145</v>
      </c>
      <c r="M271" s="31">
        <f>1615</f>
        <v>1615</v>
      </c>
      <c r="N271" s="32" t="s">
        <v>1114</v>
      </c>
      <c r="O271" s="31">
        <f>1532</f>
        <v>1532</v>
      </c>
      <c r="P271" s="32" t="s">
        <v>682</v>
      </c>
      <c r="Q271" s="31">
        <f>1606</f>
        <v>1606</v>
      </c>
      <c r="R271" s="32" t="s">
        <v>1114</v>
      </c>
      <c r="S271" s="33">
        <f>1567.5</f>
        <v>1567.5</v>
      </c>
      <c r="T271" s="30">
        <f>17807</f>
        <v>17807</v>
      </c>
      <c r="U271" s="30" t="str">
        <f>"－"</f>
        <v>－</v>
      </c>
      <c r="V271" s="30">
        <f>27958723</f>
        <v>27958723</v>
      </c>
      <c r="W271" s="30" t="str">
        <f>"－"</f>
        <v>－</v>
      </c>
      <c r="X271" s="34">
        <f>20</f>
        <v>20</v>
      </c>
    </row>
    <row r="272" spans="1:24">
      <c r="A272" s="25" t="s">
        <v>1172</v>
      </c>
      <c r="B272" s="25" t="s">
        <v>564</v>
      </c>
      <c r="C272" s="25" t="s">
        <v>565</v>
      </c>
      <c r="D272" s="25" t="s">
        <v>566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1078</f>
        <v>1078</v>
      </c>
      <c r="L272" s="32" t="s">
        <v>1145</v>
      </c>
      <c r="M272" s="31">
        <f>1120</f>
        <v>1120</v>
      </c>
      <c r="N272" s="32" t="s">
        <v>679</v>
      </c>
      <c r="O272" s="31">
        <f>1071.5</f>
        <v>1071.5</v>
      </c>
      <c r="P272" s="32" t="s">
        <v>674</v>
      </c>
      <c r="Q272" s="31">
        <f>1120</f>
        <v>1120</v>
      </c>
      <c r="R272" s="32" t="s">
        <v>1114</v>
      </c>
      <c r="S272" s="33">
        <f>1096.23</f>
        <v>1096.23</v>
      </c>
      <c r="T272" s="30">
        <f>160270</f>
        <v>160270</v>
      </c>
      <c r="U272" s="30">
        <f>30030</f>
        <v>30030</v>
      </c>
      <c r="V272" s="30">
        <f>174999795</f>
        <v>174999795</v>
      </c>
      <c r="W272" s="30">
        <f>33260805</f>
        <v>33260805</v>
      </c>
      <c r="X272" s="34">
        <f>20</f>
        <v>20</v>
      </c>
    </row>
    <row r="273" spans="1:24">
      <c r="A273" s="25" t="s">
        <v>1172</v>
      </c>
      <c r="B273" s="25" t="s">
        <v>567</v>
      </c>
      <c r="C273" s="25" t="s">
        <v>568</v>
      </c>
      <c r="D273" s="25" t="s">
        <v>569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1469.5</f>
        <v>1469.5</v>
      </c>
      <c r="L273" s="32" t="s">
        <v>1145</v>
      </c>
      <c r="M273" s="31">
        <f>1605</f>
        <v>1605</v>
      </c>
      <c r="N273" s="32" t="s">
        <v>1114</v>
      </c>
      <c r="O273" s="31">
        <f>1404.5</f>
        <v>1404.5</v>
      </c>
      <c r="P273" s="32" t="s">
        <v>674</v>
      </c>
      <c r="Q273" s="31">
        <f>1556</f>
        <v>1556</v>
      </c>
      <c r="R273" s="32" t="s">
        <v>1114</v>
      </c>
      <c r="S273" s="33">
        <f>1489.6</f>
        <v>1489.6</v>
      </c>
      <c r="T273" s="30">
        <f>50050</f>
        <v>50050</v>
      </c>
      <c r="U273" s="30">
        <f>190</f>
        <v>190</v>
      </c>
      <c r="V273" s="30">
        <f>74735540</f>
        <v>74735540</v>
      </c>
      <c r="W273" s="30">
        <f>255110</f>
        <v>255110</v>
      </c>
      <c r="X273" s="34">
        <f>20</f>
        <v>20</v>
      </c>
    </row>
    <row r="274" spans="1:24">
      <c r="A274" s="25" t="s">
        <v>1172</v>
      </c>
      <c r="B274" s="25" t="s">
        <v>570</v>
      </c>
      <c r="C274" s="25" t="s">
        <v>571</v>
      </c>
      <c r="D274" s="25" t="s">
        <v>572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1639.5</f>
        <v>1639.5</v>
      </c>
      <c r="L274" s="32" t="s">
        <v>1145</v>
      </c>
      <c r="M274" s="31">
        <f>1705</f>
        <v>1705</v>
      </c>
      <c r="N274" s="32" t="s">
        <v>1118</v>
      </c>
      <c r="O274" s="31">
        <f>1638.5</f>
        <v>1638.5</v>
      </c>
      <c r="P274" s="32" t="s">
        <v>675</v>
      </c>
      <c r="Q274" s="31">
        <f>1701.5</f>
        <v>1701.5</v>
      </c>
      <c r="R274" s="32" t="s">
        <v>1114</v>
      </c>
      <c r="S274" s="33">
        <f>1677.73</f>
        <v>1677.73</v>
      </c>
      <c r="T274" s="30">
        <f>3520060</f>
        <v>3520060</v>
      </c>
      <c r="U274" s="30">
        <f>1554210</f>
        <v>1554210</v>
      </c>
      <c r="V274" s="30">
        <f>5892518928</f>
        <v>5892518928</v>
      </c>
      <c r="W274" s="30">
        <f>2610627878</f>
        <v>2610627878</v>
      </c>
      <c r="X274" s="34">
        <f>20</f>
        <v>20</v>
      </c>
    </row>
    <row r="275" spans="1:24">
      <c r="A275" s="25" t="s">
        <v>1172</v>
      </c>
      <c r="B275" s="25" t="s">
        <v>573</v>
      </c>
      <c r="C275" s="25" t="s">
        <v>574</v>
      </c>
      <c r="D275" s="25" t="s">
        <v>575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</v>
      </c>
      <c r="K275" s="31">
        <f>5330</f>
        <v>5330</v>
      </c>
      <c r="L275" s="32" t="s">
        <v>1145</v>
      </c>
      <c r="M275" s="31">
        <f>5620</f>
        <v>5620</v>
      </c>
      <c r="N275" s="32" t="s">
        <v>1114</v>
      </c>
      <c r="O275" s="31">
        <f>5230</f>
        <v>5230</v>
      </c>
      <c r="P275" s="32" t="s">
        <v>674</v>
      </c>
      <c r="Q275" s="31">
        <f>5600</f>
        <v>5600</v>
      </c>
      <c r="R275" s="32" t="s">
        <v>1114</v>
      </c>
      <c r="S275" s="33">
        <f>5415</f>
        <v>5415</v>
      </c>
      <c r="T275" s="30">
        <f>31890</f>
        <v>31890</v>
      </c>
      <c r="U275" s="30" t="str">
        <f>"－"</f>
        <v>－</v>
      </c>
      <c r="V275" s="30">
        <f>173485960</f>
        <v>173485960</v>
      </c>
      <c r="W275" s="30" t="str">
        <f>"－"</f>
        <v>－</v>
      </c>
      <c r="X275" s="34">
        <f>20</f>
        <v>20</v>
      </c>
    </row>
    <row r="276" spans="1:24">
      <c r="A276" s="25" t="s">
        <v>1172</v>
      </c>
      <c r="B276" s="25" t="s">
        <v>576</v>
      </c>
      <c r="C276" s="25" t="s">
        <v>577</v>
      </c>
      <c r="D276" s="25" t="s">
        <v>578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2372</f>
        <v>2372</v>
      </c>
      <c r="L276" s="32" t="s">
        <v>759</v>
      </c>
      <c r="M276" s="31">
        <f>2400</f>
        <v>2400</v>
      </c>
      <c r="N276" s="32" t="s">
        <v>1114</v>
      </c>
      <c r="O276" s="31">
        <f>2319</f>
        <v>2319</v>
      </c>
      <c r="P276" s="32" t="s">
        <v>682</v>
      </c>
      <c r="Q276" s="31">
        <f>2400</f>
        <v>2400</v>
      </c>
      <c r="R276" s="32" t="s">
        <v>1114</v>
      </c>
      <c r="S276" s="33">
        <f>2359.38</f>
        <v>2359.38</v>
      </c>
      <c r="T276" s="30">
        <f>240</f>
        <v>240</v>
      </c>
      <c r="U276" s="30" t="str">
        <f>"－"</f>
        <v>－</v>
      </c>
      <c r="V276" s="30">
        <f>564310</f>
        <v>564310</v>
      </c>
      <c r="W276" s="30" t="str">
        <f>"－"</f>
        <v>－</v>
      </c>
      <c r="X276" s="34">
        <f>4</f>
        <v>4</v>
      </c>
    </row>
    <row r="277" spans="1:24">
      <c r="A277" s="25" t="s">
        <v>1172</v>
      </c>
      <c r="B277" s="25" t="s">
        <v>579</v>
      </c>
      <c r="C277" s="25" t="s">
        <v>580</v>
      </c>
      <c r="D277" s="25" t="s">
        <v>581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2881.5</f>
        <v>2881.5</v>
      </c>
      <c r="L277" s="32" t="s">
        <v>1145</v>
      </c>
      <c r="M277" s="31">
        <f>2902.5</f>
        <v>2902.5</v>
      </c>
      <c r="N277" s="32" t="s">
        <v>1114</v>
      </c>
      <c r="O277" s="31">
        <f>2776</f>
        <v>2776</v>
      </c>
      <c r="P277" s="32" t="s">
        <v>682</v>
      </c>
      <c r="Q277" s="31">
        <f>2897</f>
        <v>2897</v>
      </c>
      <c r="R277" s="32" t="s">
        <v>1114</v>
      </c>
      <c r="S277" s="33">
        <f>2844.71</f>
        <v>2844.71</v>
      </c>
      <c r="T277" s="30">
        <f>231010</f>
        <v>231010</v>
      </c>
      <c r="U277" s="30">
        <f>19170</f>
        <v>19170</v>
      </c>
      <c r="V277" s="30">
        <f>651481312</f>
        <v>651481312</v>
      </c>
      <c r="W277" s="30">
        <f>54118827</f>
        <v>54118827</v>
      </c>
      <c r="X277" s="34">
        <f>19</f>
        <v>19</v>
      </c>
    </row>
    <row r="278" spans="1:24">
      <c r="A278" s="25" t="s">
        <v>1172</v>
      </c>
      <c r="B278" s="25" t="s">
        <v>582</v>
      </c>
      <c r="C278" s="25" t="s">
        <v>583</v>
      </c>
      <c r="D278" s="25" t="s">
        <v>584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39590</f>
        <v>39590</v>
      </c>
      <c r="L278" s="32" t="s">
        <v>1145</v>
      </c>
      <c r="M278" s="31">
        <f>40520</f>
        <v>40520</v>
      </c>
      <c r="N278" s="32" t="s">
        <v>1114</v>
      </c>
      <c r="O278" s="31">
        <f>38690</f>
        <v>38690</v>
      </c>
      <c r="P278" s="32" t="s">
        <v>682</v>
      </c>
      <c r="Q278" s="31">
        <f>40520</f>
        <v>40520</v>
      </c>
      <c r="R278" s="32" t="s">
        <v>1114</v>
      </c>
      <c r="S278" s="33">
        <f>39605.79</f>
        <v>39605.79</v>
      </c>
      <c r="T278" s="30">
        <f>63270</f>
        <v>63270</v>
      </c>
      <c r="U278" s="30">
        <f>10000</f>
        <v>10000</v>
      </c>
      <c r="V278" s="30">
        <f>2506754430</f>
        <v>2506754430</v>
      </c>
      <c r="W278" s="30">
        <f>394104500</f>
        <v>394104500</v>
      </c>
      <c r="X278" s="34">
        <f>19</f>
        <v>19</v>
      </c>
    </row>
    <row r="279" spans="1:24">
      <c r="A279" s="25" t="s">
        <v>1172</v>
      </c>
      <c r="B279" s="25" t="s">
        <v>585</v>
      </c>
      <c r="C279" s="25" t="s">
        <v>586</v>
      </c>
      <c r="D279" s="25" t="s">
        <v>587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25570</f>
        <v>25570</v>
      </c>
      <c r="L279" s="32" t="s">
        <v>674</v>
      </c>
      <c r="M279" s="31">
        <f>26305</f>
        <v>26305</v>
      </c>
      <c r="N279" s="32" t="s">
        <v>1114</v>
      </c>
      <c r="O279" s="31">
        <f>25230</f>
        <v>25230</v>
      </c>
      <c r="P279" s="32" t="s">
        <v>682</v>
      </c>
      <c r="Q279" s="31">
        <f>26305</f>
        <v>26305</v>
      </c>
      <c r="R279" s="32" t="s">
        <v>1114</v>
      </c>
      <c r="S279" s="33">
        <f>25632.14</f>
        <v>25632.14</v>
      </c>
      <c r="T279" s="30">
        <f>11489</f>
        <v>11489</v>
      </c>
      <c r="U279" s="30">
        <f>10000</f>
        <v>10000</v>
      </c>
      <c r="V279" s="30">
        <f>298582900</f>
        <v>298582900</v>
      </c>
      <c r="W279" s="30">
        <f>260330000</f>
        <v>260330000</v>
      </c>
      <c r="X279" s="34">
        <f>14</f>
        <v>14</v>
      </c>
    </row>
    <row r="280" spans="1:24">
      <c r="A280" s="25" t="s">
        <v>1172</v>
      </c>
      <c r="B280" s="25" t="s">
        <v>588</v>
      </c>
      <c r="C280" s="25" t="s">
        <v>589</v>
      </c>
      <c r="D280" s="25" t="s">
        <v>590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1070</f>
        <v>1070</v>
      </c>
      <c r="L280" s="32" t="s">
        <v>1145</v>
      </c>
      <c r="M280" s="31">
        <f>1070</f>
        <v>1070</v>
      </c>
      <c r="N280" s="32" t="s">
        <v>1145</v>
      </c>
      <c r="O280" s="31">
        <f>1052</f>
        <v>1052</v>
      </c>
      <c r="P280" s="32" t="s">
        <v>1123</v>
      </c>
      <c r="Q280" s="31">
        <f>1060.5</f>
        <v>1060.5</v>
      </c>
      <c r="R280" s="32" t="s">
        <v>1114</v>
      </c>
      <c r="S280" s="33">
        <f>1061.36</f>
        <v>1061.3599999999999</v>
      </c>
      <c r="T280" s="30">
        <f>55570</f>
        <v>55570</v>
      </c>
      <c r="U280" s="30">
        <f>10</f>
        <v>10</v>
      </c>
      <c r="V280" s="30">
        <f>58748395</f>
        <v>58748395</v>
      </c>
      <c r="W280" s="30">
        <f>10505</f>
        <v>10505</v>
      </c>
      <c r="X280" s="34">
        <f>11</f>
        <v>11</v>
      </c>
    </row>
    <row r="281" spans="1:24">
      <c r="A281" s="25" t="s">
        <v>1172</v>
      </c>
      <c r="B281" s="25" t="s">
        <v>591</v>
      </c>
      <c r="C281" s="25" t="s">
        <v>946</v>
      </c>
      <c r="D281" s="25" t="s">
        <v>947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</v>
      </c>
      <c r="K281" s="31">
        <f>1051</f>
        <v>1051</v>
      </c>
      <c r="L281" s="32" t="s">
        <v>1145</v>
      </c>
      <c r="M281" s="31">
        <f>1057</f>
        <v>1057</v>
      </c>
      <c r="N281" s="32" t="s">
        <v>675</v>
      </c>
      <c r="O281" s="31">
        <f>1030</f>
        <v>1030</v>
      </c>
      <c r="P281" s="32" t="s">
        <v>682</v>
      </c>
      <c r="Q281" s="31">
        <f>1041</f>
        <v>1041</v>
      </c>
      <c r="R281" s="32" t="s">
        <v>1114</v>
      </c>
      <c r="S281" s="33">
        <f>1042.1</f>
        <v>1042.0999999999999</v>
      </c>
      <c r="T281" s="30">
        <f>228722</f>
        <v>228722</v>
      </c>
      <c r="U281" s="30">
        <f>150010</f>
        <v>150010</v>
      </c>
      <c r="V281" s="30">
        <f>238820565</f>
        <v>238820565</v>
      </c>
      <c r="W281" s="30">
        <f>157207490</f>
        <v>157207490</v>
      </c>
      <c r="X281" s="34">
        <f>20</f>
        <v>20</v>
      </c>
    </row>
    <row r="282" spans="1:24">
      <c r="A282" s="25" t="s">
        <v>1172</v>
      </c>
      <c r="B282" s="25" t="s">
        <v>592</v>
      </c>
      <c r="C282" s="25" t="s">
        <v>593</v>
      </c>
      <c r="D282" s="25" t="s">
        <v>594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1755</f>
        <v>1755</v>
      </c>
      <c r="L282" s="32" t="s">
        <v>1145</v>
      </c>
      <c r="M282" s="31">
        <f>1770</f>
        <v>1770</v>
      </c>
      <c r="N282" s="32" t="s">
        <v>1145</v>
      </c>
      <c r="O282" s="31">
        <f>1681</f>
        <v>1681</v>
      </c>
      <c r="P282" s="32" t="s">
        <v>1118</v>
      </c>
      <c r="Q282" s="31">
        <f>1734</f>
        <v>1734</v>
      </c>
      <c r="R282" s="32" t="s">
        <v>1114</v>
      </c>
      <c r="S282" s="33">
        <f>1721.3</f>
        <v>1721.3</v>
      </c>
      <c r="T282" s="30">
        <f>253487</f>
        <v>253487</v>
      </c>
      <c r="U282" s="30">
        <f>68060</f>
        <v>68060</v>
      </c>
      <c r="V282" s="30">
        <f>438170284</f>
        <v>438170284</v>
      </c>
      <c r="W282" s="30">
        <f>118078197</f>
        <v>118078197</v>
      </c>
      <c r="X282" s="34">
        <f>20</f>
        <v>20</v>
      </c>
    </row>
    <row r="283" spans="1:24">
      <c r="A283" s="25" t="s">
        <v>1172</v>
      </c>
      <c r="B283" s="25" t="s">
        <v>595</v>
      </c>
      <c r="C283" s="25" t="s">
        <v>596</v>
      </c>
      <c r="D283" s="25" t="s">
        <v>597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</v>
      </c>
      <c r="K283" s="31">
        <f>13790</f>
        <v>13790</v>
      </c>
      <c r="L283" s="32" t="s">
        <v>1145</v>
      </c>
      <c r="M283" s="31">
        <f>13900</f>
        <v>13900</v>
      </c>
      <c r="N283" s="32" t="s">
        <v>1123</v>
      </c>
      <c r="O283" s="31">
        <f>13320</f>
        <v>13320</v>
      </c>
      <c r="P283" s="32" t="s">
        <v>679</v>
      </c>
      <c r="Q283" s="31">
        <f>13640</f>
        <v>13640</v>
      </c>
      <c r="R283" s="32" t="s">
        <v>1114</v>
      </c>
      <c r="S283" s="33">
        <f>13609.74</f>
        <v>13609.74</v>
      </c>
      <c r="T283" s="30">
        <f>1019</f>
        <v>1019</v>
      </c>
      <c r="U283" s="30" t="str">
        <f>"－"</f>
        <v>－</v>
      </c>
      <c r="V283" s="30">
        <f>13818615</f>
        <v>13818615</v>
      </c>
      <c r="W283" s="30" t="str">
        <f>"－"</f>
        <v>－</v>
      </c>
      <c r="X283" s="34">
        <f>19</f>
        <v>19</v>
      </c>
    </row>
    <row r="284" spans="1:24">
      <c r="A284" s="25" t="s">
        <v>1172</v>
      </c>
      <c r="B284" s="25" t="s">
        <v>598</v>
      </c>
      <c r="C284" s="25" t="s">
        <v>599</v>
      </c>
      <c r="D284" s="25" t="s">
        <v>600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</v>
      </c>
      <c r="K284" s="31">
        <f>1886</f>
        <v>1886</v>
      </c>
      <c r="L284" s="32" t="s">
        <v>1145</v>
      </c>
      <c r="M284" s="31">
        <f>1886</f>
        <v>1886</v>
      </c>
      <c r="N284" s="32" t="s">
        <v>1145</v>
      </c>
      <c r="O284" s="31">
        <f>1833</f>
        <v>1833</v>
      </c>
      <c r="P284" s="32" t="s">
        <v>1123</v>
      </c>
      <c r="Q284" s="31">
        <f>1859</f>
        <v>1859</v>
      </c>
      <c r="R284" s="32" t="s">
        <v>1114</v>
      </c>
      <c r="S284" s="33">
        <f>1857.7</f>
        <v>1857.7</v>
      </c>
      <c r="T284" s="30">
        <f>25928</f>
        <v>25928</v>
      </c>
      <c r="U284" s="30" t="str">
        <f>"－"</f>
        <v>－</v>
      </c>
      <c r="V284" s="30">
        <f>48169174</f>
        <v>48169174</v>
      </c>
      <c r="W284" s="30" t="str">
        <f>"－"</f>
        <v>－</v>
      </c>
      <c r="X284" s="34">
        <f>20</f>
        <v>20</v>
      </c>
    </row>
    <row r="285" spans="1:24">
      <c r="A285" s="25" t="s">
        <v>1172</v>
      </c>
      <c r="B285" s="25" t="s">
        <v>601</v>
      </c>
      <c r="C285" s="25" t="s">
        <v>602</v>
      </c>
      <c r="D285" s="25" t="s">
        <v>603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10</v>
      </c>
      <c r="K285" s="31">
        <f>1543</f>
        <v>1543</v>
      </c>
      <c r="L285" s="32" t="s">
        <v>1145</v>
      </c>
      <c r="M285" s="31">
        <f>1590.5</f>
        <v>1590.5</v>
      </c>
      <c r="N285" s="32" t="s">
        <v>759</v>
      </c>
      <c r="O285" s="31">
        <f>1457</f>
        <v>1457</v>
      </c>
      <c r="P285" s="32" t="s">
        <v>676</v>
      </c>
      <c r="Q285" s="31">
        <f>1470</f>
        <v>1470</v>
      </c>
      <c r="R285" s="32" t="s">
        <v>1111</v>
      </c>
      <c r="S285" s="33">
        <f>1512.54</f>
        <v>1512.54</v>
      </c>
      <c r="T285" s="30">
        <f>2560</f>
        <v>2560</v>
      </c>
      <c r="U285" s="30" t="str">
        <f>"－"</f>
        <v>－</v>
      </c>
      <c r="V285" s="30">
        <f>3864670</f>
        <v>3864670</v>
      </c>
      <c r="W285" s="30" t="str">
        <f>"－"</f>
        <v>－</v>
      </c>
      <c r="X285" s="34">
        <f>13</f>
        <v>13</v>
      </c>
    </row>
    <row r="286" spans="1:24">
      <c r="A286" s="25" t="s">
        <v>1172</v>
      </c>
      <c r="B286" s="25" t="s">
        <v>604</v>
      </c>
      <c r="C286" s="25" t="s">
        <v>685</v>
      </c>
      <c r="D286" s="25" t="s">
        <v>686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10</v>
      </c>
      <c r="K286" s="31">
        <f>796.3</f>
        <v>796.3</v>
      </c>
      <c r="L286" s="32" t="s">
        <v>1145</v>
      </c>
      <c r="M286" s="31">
        <f>803.7</f>
        <v>803.7</v>
      </c>
      <c r="N286" s="32" t="s">
        <v>674</v>
      </c>
      <c r="O286" s="31">
        <f>791.5</f>
        <v>791.5</v>
      </c>
      <c r="P286" s="32" t="s">
        <v>684</v>
      </c>
      <c r="Q286" s="31">
        <f>795.3</f>
        <v>795.3</v>
      </c>
      <c r="R286" s="32" t="s">
        <v>1114</v>
      </c>
      <c r="S286" s="33">
        <f>797.11</f>
        <v>797.11</v>
      </c>
      <c r="T286" s="30">
        <f>515310</f>
        <v>515310</v>
      </c>
      <c r="U286" s="30">
        <f>342470</f>
        <v>342470</v>
      </c>
      <c r="V286" s="30">
        <f>411322862</f>
        <v>411322862</v>
      </c>
      <c r="W286" s="30">
        <f>273462295</f>
        <v>273462295</v>
      </c>
      <c r="X286" s="34">
        <f>20</f>
        <v>20</v>
      </c>
    </row>
    <row r="287" spans="1:24">
      <c r="A287" s="25" t="s">
        <v>1172</v>
      </c>
      <c r="B287" s="25" t="s">
        <v>605</v>
      </c>
      <c r="C287" s="25" t="s">
        <v>606</v>
      </c>
      <c r="D287" s="25" t="s">
        <v>607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1801</f>
        <v>1801</v>
      </c>
      <c r="L287" s="32" t="s">
        <v>1145</v>
      </c>
      <c r="M287" s="31">
        <f>1814.5</f>
        <v>1814.5</v>
      </c>
      <c r="N287" s="32" t="s">
        <v>1124</v>
      </c>
      <c r="O287" s="31">
        <f>1760</f>
        <v>1760</v>
      </c>
      <c r="P287" s="32" t="s">
        <v>1123</v>
      </c>
      <c r="Q287" s="31">
        <f>1785</f>
        <v>1785</v>
      </c>
      <c r="R287" s="32" t="s">
        <v>1114</v>
      </c>
      <c r="S287" s="33">
        <f>1781.13</f>
        <v>1781.13</v>
      </c>
      <c r="T287" s="30">
        <f>1074570</f>
        <v>1074570</v>
      </c>
      <c r="U287" s="30">
        <f>998410</f>
        <v>998410</v>
      </c>
      <c r="V287" s="30">
        <f>1924413077</f>
        <v>1924413077</v>
      </c>
      <c r="W287" s="30">
        <f>1788710027</f>
        <v>1788710027</v>
      </c>
      <c r="X287" s="34">
        <f>20</f>
        <v>20</v>
      </c>
    </row>
    <row r="288" spans="1:24">
      <c r="A288" s="25" t="s">
        <v>1172</v>
      </c>
      <c r="B288" s="25" t="s">
        <v>608</v>
      </c>
      <c r="C288" s="25" t="s">
        <v>609</v>
      </c>
      <c r="D288" s="25" t="s">
        <v>610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10</v>
      </c>
      <c r="K288" s="31">
        <f>1799</f>
        <v>1799</v>
      </c>
      <c r="L288" s="32" t="s">
        <v>1145</v>
      </c>
      <c r="M288" s="31">
        <f>1804.5</f>
        <v>1804.5</v>
      </c>
      <c r="N288" s="32" t="s">
        <v>676</v>
      </c>
      <c r="O288" s="31">
        <f>1756</f>
        <v>1756</v>
      </c>
      <c r="P288" s="32" t="s">
        <v>678</v>
      </c>
      <c r="Q288" s="31">
        <f>1783.5</f>
        <v>1783.5</v>
      </c>
      <c r="R288" s="32" t="s">
        <v>1114</v>
      </c>
      <c r="S288" s="33">
        <f>1781.53</f>
        <v>1781.53</v>
      </c>
      <c r="T288" s="30">
        <f>2321470</f>
        <v>2321470</v>
      </c>
      <c r="U288" s="30">
        <f>1541290</f>
        <v>1541290</v>
      </c>
      <c r="V288" s="30">
        <f>4111647767</f>
        <v>4111647767</v>
      </c>
      <c r="W288" s="30">
        <f>2727045517</f>
        <v>2727045517</v>
      </c>
      <c r="X288" s="34">
        <f>20</f>
        <v>20</v>
      </c>
    </row>
    <row r="289" spans="1:24">
      <c r="A289" s="25" t="s">
        <v>1172</v>
      </c>
      <c r="B289" s="25" t="s">
        <v>611</v>
      </c>
      <c r="C289" s="25" t="s">
        <v>612</v>
      </c>
      <c r="D289" s="25" t="s">
        <v>613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2819.5</f>
        <v>2819.5</v>
      </c>
      <c r="L289" s="32" t="s">
        <v>1145</v>
      </c>
      <c r="M289" s="31">
        <f>2847</f>
        <v>2847</v>
      </c>
      <c r="N289" s="32" t="s">
        <v>1114</v>
      </c>
      <c r="O289" s="31">
        <f>2720</f>
        <v>2720</v>
      </c>
      <c r="P289" s="32" t="s">
        <v>682</v>
      </c>
      <c r="Q289" s="31">
        <f>2845.5</f>
        <v>2845.5</v>
      </c>
      <c r="R289" s="32" t="s">
        <v>1114</v>
      </c>
      <c r="S289" s="33">
        <f>2785.08</f>
        <v>2785.08</v>
      </c>
      <c r="T289" s="30">
        <f>1780040</f>
        <v>1780040</v>
      </c>
      <c r="U289" s="30">
        <f>1218320</f>
        <v>1218320</v>
      </c>
      <c r="V289" s="30">
        <f>4943993995</f>
        <v>4943993995</v>
      </c>
      <c r="W289" s="30">
        <f>3379370710</f>
        <v>3379370710</v>
      </c>
      <c r="X289" s="34">
        <f>20</f>
        <v>20</v>
      </c>
    </row>
    <row r="290" spans="1:24">
      <c r="A290" s="25" t="s">
        <v>1172</v>
      </c>
      <c r="B290" s="25" t="s">
        <v>614</v>
      </c>
      <c r="C290" s="25" t="s">
        <v>615</v>
      </c>
      <c r="D290" s="25" t="s">
        <v>616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23970</f>
        <v>23970</v>
      </c>
      <c r="L290" s="32" t="s">
        <v>1145</v>
      </c>
      <c r="M290" s="31">
        <f>25450</f>
        <v>25450</v>
      </c>
      <c r="N290" s="32" t="s">
        <v>1114</v>
      </c>
      <c r="O290" s="31">
        <f>23705</f>
        <v>23705</v>
      </c>
      <c r="P290" s="32" t="s">
        <v>674</v>
      </c>
      <c r="Q290" s="31">
        <f>25390</f>
        <v>25390</v>
      </c>
      <c r="R290" s="32" t="s">
        <v>1114</v>
      </c>
      <c r="S290" s="33">
        <f>24562.75</f>
        <v>24562.75</v>
      </c>
      <c r="T290" s="30">
        <f>958114</f>
        <v>958114</v>
      </c>
      <c r="U290" s="30">
        <f>173251</f>
        <v>173251</v>
      </c>
      <c r="V290" s="30">
        <f>23551157718</f>
        <v>23551157718</v>
      </c>
      <c r="W290" s="30">
        <f>4244422183</f>
        <v>4244422183</v>
      </c>
      <c r="X290" s="34">
        <f>20</f>
        <v>20</v>
      </c>
    </row>
    <row r="291" spans="1:24">
      <c r="A291" s="25" t="s">
        <v>1172</v>
      </c>
      <c r="B291" s="25" t="s">
        <v>617</v>
      </c>
      <c r="C291" s="25" t="s">
        <v>618</v>
      </c>
      <c r="D291" s="25" t="s">
        <v>619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20560</f>
        <v>20560</v>
      </c>
      <c r="L291" s="32" t="s">
        <v>1145</v>
      </c>
      <c r="M291" s="31">
        <f>21305</f>
        <v>21305</v>
      </c>
      <c r="N291" s="32" t="s">
        <v>1114</v>
      </c>
      <c r="O291" s="31">
        <f>20355</f>
        <v>20355</v>
      </c>
      <c r="P291" s="32" t="s">
        <v>674</v>
      </c>
      <c r="Q291" s="31">
        <f>21280</f>
        <v>21280</v>
      </c>
      <c r="R291" s="32" t="s">
        <v>1114</v>
      </c>
      <c r="S291" s="33">
        <f>20741.25</f>
        <v>20741.25</v>
      </c>
      <c r="T291" s="30">
        <f>368535</f>
        <v>368535</v>
      </c>
      <c r="U291" s="30">
        <f>1751</f>
        <v>1751</v>
      </c>
      <c r="V291" s="30">
        <f>7636598607</f>
        <v>7636598607</v>
      </c>
      <c r="W291" s="30">
        <f>35928687</f>
        <v>35928687</v>
      </c>
      <c r="X291" s="34">
        <f>20</f>
        <v>20</v>
      </c>
    </row>
    <row r="292" spans="1:24">
      <c r="A292" s="25" t="s">
        <v>1172</v>
      </c>
      <c r="B292" s="25" t="s">
        <v>620</v>
      </c>
      <c r="C292" s="25" t="s">
        <v>621</v>
      </c>
      <c r="D292" s="25" t="s">
        <v>622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36970</f>
        <v>36970</v>
      </c>
      <c r="L292" s="32" t="s">
        <v>1145</v>
      </c>
      <c r="M292" s="31">
        <f>37990</f>
        <v>37990</v>
      </c>
      <c r="N292" s="32" t="s">
        <v>1111</v>
      </c>
      <c r="O292" s="31">
        <f>35900</f>
        <v>35900</v>
      </c>
      <c r="P292" s="32" t="s">
        <v>682</v>
      </c>
      <c r="Q292" s="31">
        <f>37040</f>
        <v>37040</v>
      </c>
      <c r="R292" s="32" t="s">
        <v>1111</v>
      </c>
      <c r="S292" s="33">
        <f>36721.43</f>
        <v>36721.43</v>
      </c>
      <c r="T292" s="30">
        <f>93</f>
        <v>93</v>
      </c>
      <c r="U292" s="30" t="str">
        <f>"－"</f>
        <v>－</v>
      </c>
      <c r="V292" s="30">
        <f>3426930</f>
        <v>3426930</v>
      </c>
      <c r="W292" s="30" t="str">
        <f>"－"</f>
        <v>－</v>
      </c>
      <c r="X292" s="34">
        <f>7</f>
        <v>7</v>
      </c>
    </row>
    <row r="293" spans="1:24">
      <c r="A293" s="25" t="s">
        <v>1172</v>
      </c>
      <c r="B293" s="25" t="s">
        <v>623</v>
      </c>
      <c r="C293" s="25" t="s">
        <v>624</v>
      </c>
      <c r="D293" s="25" t="s">
        <v>625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2344</f>
        <v>2344</v>
      </c>
      <c r="L293" s="32" t="s">
        <v>1145</v>
      </c>
      <c r="M293" s="31">
        <f>2379</f>
        <v>2379</v>
      </c>
      <c r="N293" s="32" t="s">
        <v>1117</v>
      </c>
      <c r="O293" s="31">
        <f>2331</f>
        <v>2331</v>
      </c>
      <c r="P293" s="32" t="s">
        <v>1111</v>
      </c>
      <c r="Q293" s="31">
        <f>2341</f>
        <v>2341</v>
      </c>
      <c r="R293" s="32" t="s">
        <v>1114</v>
      </c>
      <c r="S293" s="33">
        <f>2355.2</f>
        <v>2355.1999999999998</v>
      </c>
      <c r="T293" s="30">
        <f>246153</f>
        <v>246153</v>
      </c>
      <c r="U293" s="30">
        <f>54994</f>
        <v>54994</v>
      </c>
      <c r="V293" s="30">
        <f>579960503</f>
        <v>579960503</v>
      </c>
      <c r="W293" s="30">
        <f>128774659</f>
        <v>128774659</v>
      </c>
      <c r="X293" s="34">
        <f>20</f>
        <v>20</v>
      </c>
    </row>
    <row r="294" spans="1:24">
      <c r="A294" s="25" t="s">
        <v>1172</v>
      </c>
      <c r="B294" s="25" t="s">
        <v>626</v>
      </c>
      <c r="C294" s="25" t="s">
        <v>627</v>
      </c>
      <c r="D294" s="25" t="s">
        <v>628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2988</f>
        <v>2988</v>
      </c>
      <c r="L294" s="32" t="s">
        <v>1145</v>
      </c>
      <c r="M294" s="31">
        <f>3050</f>
        <v>3050</v>
      </c>
      <c r="N294" s="32" t="s">
        <v>679</v>
      </c>
      <c r="O294" s="31">
        <f>2910.5</f>
        <v>2910.5</v>
      </c>
      <c r="P294" s="32" t="s">
        <v>682</v>
      </c>
      <c r="Q294" s="31">
        <f>3011</f>
        <v>3011</v>
      </c>
      <c r="R294" s="32" t="s">
        <v>1114</v>
      </c>
      <c r="S294" s="33">
        <f>2993.13</f>
        <v>2993.13</v>
      </c>
      <c r="T294" s="30">
        <f>302760</f>
        <v>302760</v>
      </c>
      <c r="U294" s="30">
        <f>167310</f>
        <v>167310</v>
      </c>
      <c r="V294" s="30">
        <f>906173034</f>
        <v>906173034</v>
      </c>
      <c r="W294" s="30">
        <f>500574949</f>
        <v>500574949</v>
      </c>
      <c r="X294" s="34">
        <f>20</f>
        <v>20</v>
      </c>
    </row>
    <row r="295" spans="1:24">
      <c r="A295" s="25" t="s">
        <v>1172</v>
      </c>
      <c r="B295" s="25" t="s">
        <v>629</v>
      </c>
      <c r="C295" s="25" t="s">
        <v>630</v>
      </c>
      <c r="D295" s="25" t="s">
        <v>631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307</f>
        <v>307</v>
      </c>
      <c r="L295" s="32" t="s">
        <v>1145</v>
      </c>
      <c r="M295" s="31">
        <f>319.2</f>
        <v>319.2</v>
      </c>
      <c r="N295" s="32" t="s">
        <v>1118</v>
      </c>
      <c r="O295" s="31">
        <f>306.6</f>
        <v>306.60000000000002</v>
      </c>
      <c r="P295" s="32" t="s">
        <v>675</v>
      </c>
      <c r="Q295" s="31">
        <f>318.5</f>
        <v>318.5</v>
      </c>
      <c r="R295" s="32" t="s">
        <v>1114</v>
      </c>
      <c r="S295" s="33">
        <f>313.96</f>
        <v>313.95999999999998</v>
      </c>
      <c r="T295" s="30">
        <f>26608390</f>
        <v>26608390</v>
      </c>
      <c r="U295" s="30">
        <f>8790640</f>
        <v>8790640</v>
      </c>
      <c r="V295" s="30">
        <f>8358063338</f>
        <v>8358063338</v>
      </c>
      <c r="W295" s="30">
        <f>2754602619</f>
        <v>2754602619</v>
      </c>
      <c r="X295" s="34">
        <f>20</f>
        <v>20</v>
      </c>
    </row>
    <row r="296" spans="1:24">
      <c r="A296" s="25" t="s">
        <v>1172</v>
      </c>
      <c r="B296" s="25" t="s">
        <v>632</v>
      </c>
      <c r="C296" s="25" t="s">
        <v>633</v>
      </c>
      <c r="D296" s="25" t="s">
        <v>634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</v>
      </c>
      <c r="K296" s="31">
        <f>2845</f>
        <v>2845</v>
      </c>
      <c r="L296" s="32" t="s">
        <v>1145</v>
      </c>
      <c r="M296" s="31">
        <f>2879</f>
        <v>2879</v>
      </c>
      <c r="N296" s="32" t="s">
        <v>1114</v>
      </c>
      <c r="O296" s="31">
        <f>2791</f>
        <v>2791</v>
      </c>
      <c r="P296" s="32" t="s">
        <v>1117</v>
      </c>
      <c r="Q296" s="31">
        <f>2874</f>
        <v>2874</v>
      </c>
      <c r="R296" s="32" t="s">
        <v>1114</v>
      </c>
      <c r="S296" s="33">
        <f>2834.4</f>
        <v>2834.4</v>
      </c>
      <c r="T296" s="30">
        <f>716760</f>
        <v>716760</v>
      </c>
      <c r="U296" s="30">
        <f>353151</f>
        <v>353151</v>
      </c>
      <c r="V296" s="30">
        <f>2032947619</f>
        <v>2032947619</v>
      </c>
      <c r="W296" s="30">
        <f>1001683702</f>
        <v>1001683702</v>
      </c>
      <c r="X296" s="34">
        <f>20</f>
        <v>20</v>
      </c>
    </row>
    <row r="297" spans="1:24">
      <c r="A297" s="25" t="s">
        <v>1172</v>
      </c>
      <c r="B297" s="25" t="s">
        <v>635</v>
      </c>
      <c r="C297" s="25" t="s">
        <v>636</v>
      </c>
      <c r="D297" s="25" t="s">
        <v>637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882</f>
        <v>882</v>
      </c>
      <c r="L297" s="32" t="s">
        <v>1145</v>
      </c>
      <c r="M297" s="31">
        <f>899</f>
        <v>899</v>
      </c>
      <c r="N297" s="32" t="s">
        <v>1124</v>
      </c>
      <c r="O297" s="31">
        <f>862</f>
        <v>862</v>
      </c>
      <c r="P297" s="32" t="s">
        <v>682</v>
      </c>
      <c r="Q297" s="31">
        <f>872</f>
        <v>872</v>
      </c>
      <c r="R297" s="32" t="s">
        <v>1114</v>
      </c>
      <c r="S297" s="33">
        <f>875.95</f>
        <v>875.95</v>
      </c>
      <c r="T297" s="30">
        <f>189569</f>
        <v>189569</v>
      </c>
      <c r="U297" s="30">
        <f>1990</f>
        <v>1990</v>
      </c>
      <c r="V297" s="30">
        <f>166167482</f>
        <v>166167482</v>
      </c>
      <c r="W297" s="30">
        <f>1733528</f>
        <v>1733528</v>
      </c>
      <c r="X297" s="34">
        <f>20</f>
        <v>20</v>
      </c>
    </row>
    <row r="298" spans="1:24">
      <c r="A298" s="25" t="s">
        <v>1172</v>
      </c>
      <c r="B298" s="25" t="s">
        <v>638</v>
      </c>
      <c r="C298" s="25" t="s">
        <v>639</v>
      </c>
      <c r="D298" s="25" t="s">
        <v>640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10</v>
      </c>
      <c r="K298" s="31">
        <f>984.2</f>
        <v>984.2</v>
      </c>
      <c r="L298" s="32" t="s">
        <v>1145</v>
      </c>
      <c r="M298" s="31">
        <f>999</f>
        <v>999</v>
      </c>
      <c r="N298" s="32" t="s">
        <v>1117</v>
      </c>
      <c r="O298" s="31">
        <f>963.6</f>
        <v>963.6</v>
      </c>
      <c r="P298" s="32" t="s">
        <v>682</v>
      </c>
      <c r="Q298" s="31">
        <f>977</f>
        <v>977</v>
      </c>
      <c r="R298" s="32" t="s">
        <v>1114</v>
      </c>
      <c r="S298" s="33">
        <f>975.44</f>
        <v>975.44</v>
      </c>
      <c r="T298" s="30">
        <f>1238770</f>
        <v>1238770</v>
      </c>
      <c r="U298" s="30">
        <f>769640</f>
        <v>769640</v>
      </c>
      <c r="V298" s="30">
        <f>1205433669</f>
        <v>1205433669</v>
      </c>
      <c r="W298" s="30">
        <f>749258018</f>
        <v>749258018</v>
      </c>
      <c r="X298" s="34">
        <f>20</f>
        <v>20</v>
      </c>
    </row>
    <row r="299" spans="1:24">
      <c r="A299" s="25" t="s">
        <v>1172</v>
      </c>
      <c r="B299" s="25" t="s">
        <v>641</v>
      </c>
      <c r="C299" s="25" t="s">
        <v>642</v>
      </c>
      <c r="D299" s="25" t="s">
        <v>643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10</v>
      </c>
      <c r="K299" s="31">
        <f>358.1</f>
        <v>358.1</v>
      </c>
      <c r="L299" s="32" t="s">
        <v>1145</v>
      </c>
      <c r="M299" s="31">
        <f>384.5</f>
        <v>384.5</v>
      </c>
      <c r="N299" s="32" t="s">
        <v>1124</v>
      </c>
      <c r="O299" s="31">
        <f>344.3</f>
        <v>344.3</v>
      </c>
      <c r="P299" s="32" t="s">
        <v>1118</v>
      </c>
      <c r="Q299" s="31">
        <f>375.8</f>
        <v>375.8</v>
      </c>
      <c r="R299" s="32" t="s">
        <v>1114</v>
      </c>
      <c r="S299" s="33">
        <f>365.03</f>
        <v>365.03</v>
      </c>
      <c r="T299" s="30">
        <f>9940</f>
        <v>9940</v>
      </c>
      <c r="U299" s="30" t="str">
        <f>"－"</f>
        <v>－</v>
      </c>
      <c r="V299" s="30">
        <f>3559760</f>
        <v>3559760</v>
      </c>
      <c r="W299" s="30" t="str">
        <f>"－"</f>
        <v>－</v>
      </c>
      <c r="X299" s="34">
        <f>16</f>
        <v>16</v>
      </c>
    </row>
    <row r="300" spans="1:24">
      <c r="A300" s="25" t="s">
        <v>1172</v>
      </c>
      <c r="B300" s="25" t="s">
        <v>644</v>
      </c>
      <c r="C300" s="25" t="s">
        <v>645</v>
      </c>
      <c r="D300" s="25" t="s">
        <v>646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10</v>
      </c>
      <c r="K300" s="31">
        <f>5012</f>
        <v>5012</v>
      </c>
      <c r="L300" s="32" t="s">
        <v>1145</v>
      </c>
      <c r="M300" s="31">
        <f>5513</f>
        <v>5513</v>
      </c>
      <c r="N300" s="32" t="s">
        <v>1114</v>
      </c>
      <c r="O300" s="31">
        <f>4985</f>
        <v>4985</v>
      </c>
      <c r="P300" s="32" t="s">
        <v>674</v>
      </c>
      <c r="Q300" s="31">
        <f>5499</f>
        <v>5499</v>
      </c>
      <c r="R300" s="32" t="s">
        <v>1114</v>
      </c>
      <c r="S300" s="33">
        <f>5285.8</f>
        <v>5285.8</v>
      </c>
      <c r="T300" s="30">
        <f>824830</f>
        <v>824830</v>
      </c>
      <c r="U300" s="30">
        <f>450</f>
        <v>450</v>
      </c>
      <c r="V300" s="30">
        <f>4365984630</f>
        <v>4365984630</v>
      </c>
      <c r="W300" s="30">
        <f>2401450</f>
        <v>2401450</v>
      </c>
      <c r="X300" s="34">
        <f>20</f>
        <v>20</v>
      </c>
    </row>
    <row r="301" spans="1:24">
      <c r="A301" s="25" t="s">
        <v>1172</v>
      </c>
      <c r="B301" s="25" t="s">
        <v>647</v>
      </c>
      <c r="C301" s="25" t="s">
        <v>648</v>
      </c>
      <c r="D301" s="25" t="s">
        <v>649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2950</f>
        <v>2950</v>
      </c>
      <c r="L301" s="32" t="s">
        <v>1145</v>
      </c>
      <c r="M301" s="31">
        <f>3186</f>
        <v>3186</v>
      </c>
      <c r="N301" s="32" t="s">
        <v>1118</v>
      </c>
      <c r="O301" s="31">
        <f>2950</f>
        <v>2950</v>
      </c>
      <c r="P301" s="32" t="s">
        <v>1145</v>
      </c>
      <c r="Q301" s="31">
        <f>3155</f>
        <v>3155</v>
      </c>
      <c r="R301" s="32" t="s">
        <v>1114</v>
      </c>
      <c r="S301" s="33">
        <f>3087.68</f>
        <v>3087.68</v>
      </c>
      <c r="T301" s="30">
        <f>2100040</f>
        <v>2100040</v>
      </c>
      <c r="U301" s="30">
        <f>1481970</f>
        <v>1481970</v>
      </c>
      <c r="V301" s="30">
        <f>6534588046</f>
        <v>6534588046</v>
      </c>
      <c r="W301" s="30">
        <f>4626265261</f>
        <v>4626265261</v>
      </c>
      <c r="X301" s="34">
        <f>20</f>
        <v>20</v>
      </c>
    </row>
    <row r="302" spans="1:24">
      <c r="A302" s="25" t="s">
        <v>1172</v>
      </c>
      <c r="B302" s="25" t="s">
        <v>650</v>
      </c>
      <c r="C302" s="25" t="s">
        <v>651</v>
      </c>
      <c r="D302" s="25" t="s">
        <v>652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353.3</f>
        <v>353.3</v>
      </c>
      <c r="L302" s="32" t="s">
        <v>1145</v>
      </c>
      <c r="M302" s="31">
        <f>365.1</f>
        <v>365.1</v>
      </c>
      <c r="N302" s="32" t="s">
        <v>1114</v>
      </c>
      <c r="O302" s="31">
        <f>350</f>
        <v>350</v>
      </c>
      <c r="P302" s="32" t="s">
        <v>674</v>
      </c>
      <c r="Q302" s="31">
        <f>364.6</f>
        <v>364.6</v>
      </c>
      <c r="R302" s="32" t="s">
        <v>1114</v>
      </c>
      <c r="S302" s="33">
        <f>356.81</f>
        <v>356.81</v>
      </c>
      <c r="T302" s="30">
        <f>16387850</f>
        <v>16387850</v>
      </c>
      <c r="U302" s="30">
        <f>5781920</f>
        <v>5781920</v>
      </c>
      <c r="V302" s="30">
        <f>5884584330</f>
        <v>5884584330</v>
      </c>
      <c r="W302" s="30">
        <f>2088797382</f>
        <v>2088797382</v>
      </c>
      <c r="X302" s="34">
        <f>20</f>
        <v>20</v>
      </c>
    </row>
    <row r="303" spans="1:24">
      <c r="A303" s="25" t="s">
        <v>1172</v>
      </c>
      <c r="B303" s="25" t="s">
        <v>653</v>
      </c>
      <c r="C303" s="25" t="s">
        <v>654</v>
      </c>
      <c r="D303" s="25" t="s">
        <v>655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1206</f>
        <v>1206</v>
      </c>
      <c r="L303" s="32" t="s">
        <v>1145</v>
      </c>
      <c r="M303" s="31">
        <f>1262</f>
        <v>1262</v>
      </c>
      <c r="N303" s="32" t="s">
        <v>680</v>
      </c>
      <c r="O303" s="31">
        <f>1205</f>
        <v>1205</v>
      </c>
      <c r="P303" s="32" t="s">
        <v>1145</v>
      </c>
      <c r="Q303" s="31">
        <f>1244</f>
        <v>1244</v>
      </c>
      <c r="R303" s="32" t="s">
        <v>1114</v>
      </c>
      <c r="S303" s="33">
        <f>1241.95</f>
        <v>1241.95</v>
      </c>
      <c r="T303" s="30">
        <f>19054278</f>
        <v>19054278</v>
      </c>
      <c r="U303" s="30">
        <f>777138</f>
        <v>777138</v>
      </c>
      <c r="V303" s="30">
        <f>23661844965</f>
        <v>23661844965</v>
      </c>
      <c r="W303" s="30">
        <f>959262557</f>
        <v>959262557</v>
      </c>
      <c r="X303" s="34">
        <f>20</f>
        <v>20</v>
      </c>
    </row>
    <row r="304" spans="1:24">
      <c r="A304" s="25" t="s">
        <v>1172</v>
      </c>
      <c r="B304" s="25" t="s">
        <v>656</v>
      </c>
      <c r="C304" s="25" t="s">
        <v>657</v>
      </c>
      <c r="D304" s="25" t="s">
        <v>658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1760</f>
        <v>1760</v>
      </c>
      <c r="L304" s="32" t="s">
        <v>1145</v>
      </c>
      <c r="M304" s="31">
        <f>1875</f>
        <v>1875</v>
      </c>
      <c r="N304" s="32" t="s">
        <v>684</v>
      </c>
      <c r="O304" s="31">
        <f>1751</f>
        <v>1751</v>
      </c>
      <c r="P304" s="32" t="s">
        <v>759</v>
      </c>
      <c r="Q304" s="31">
        <f>1763</f>
        <v>1763</v>
      </c>
      <c r="R304" s="32" t="s">
        <v>1114</v>
      </c>
      <c r="S304" s="33">
        <f>1764.9</f>
        <v>1764.9</v>
      </c>
      <c r="T304" s="30">
        <f>59773</f>
        <v>59773</v>
      </c>
      <c r="U304" s="30" t="str">
        <f>"－"</f>
        <v>－</v>
      </c>
      <c r="V304" s="30">
        <f>106269775</f>
        <v>106269775</v>
      </c>
      <c r="W304" s="30" t="str">
        <f>"－"</f>
        <v>－</v>
      </c>
      <c r="X304" s="34">
        <f>20</f>
        <v>20</v>
      </c>
    </row>
    <row r="305" spans="1:24">
      <c r="A305" s="25" t="s">
        <v>1172</v>
      </c>
      <c r="B305" s="25" t="s">
        <v>659</v>
      </c>
      <c r="C305" s="25" t="s">
        <v>660</v>
      </c>
      <c r="D305" s="25" t="s">
        <v>661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2053</f>
        <v>2053</v>
      </c>
      <c r="L305" s="32" t="s">
        <v>1145</v>
      </c>
      <c r="M305" s="31">
        <f>2080</f>
        <v>2080</v>
      </c>
      <c r="N305" s="32" t="s">
        <v>759</v>
      </c>
      <c r="O305" s="31">
        <f>2044</f>
        <v>2044</v>
      </c>
      <c r="P305" s="32" t="s">
        <v>684</v>
      </c>
      <c r="Q305" s="31">
        <f>2060</f>
        <v>2060</v>
      </c>
      <c r="R305" s="32" t="s">
        <v>1114</v>
      </c>
      <c r="S305" s="33">
        <f>2056.74</f>
        <v>2056.7399999999998</v>
      </c>
      <c r="T305" s="30">
        <f>612751</f>
        <v>612751</v>
      </c>
      <c r="U305" s="30">
        <f>603000</f>
        <v>603000</v>
      </c>
      <c r="V305" s="30">
        <f>1262014269</f>
        <v>1262014269</v>
      </c>
      <c r="W305" s="30">
        <f>1241963100</f>
        <v>1241963100</v>
      </c>
      <c r="X305" s="34">
        <f>19</f>
        <v>19</v>
      </c>
    </row>
    <row r="306" spans="1:24">
      <c r="A306" s="25" t="s">
        <v>1172</v>
      </c>
      <c r="B306" s="25" t="s">
        <v>662</v>
      </c>
      <c r="C306" s="25" t="s">
        <v>663</v>
      </c>
      <c r="D306" s="25" t="s">
        <v>948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3890</f>
        <v>3890</v>
      </c>
      <c r="L306" s="32" t="s">
        <v>1145</v>
      </c>
      <c r="M306" s="31">
        <f>3990</f>
        <v>3990</v>
      </c>
      <c r="N306" s="32" t="s">
        <v>676</v>
      </c>
      <c r="O306" s="31">
        <f>3805</f>
        <v>3805</v>
      </c>
      <c r="P306" s="32" t="s">
        <v>682</v>
      </c>
      <c r="Q306" s="31">
        <f>3975</f>
        <v>3975</v>
      </c>
      <c r="R306" s="32" t="s">
        <v>1114</v>
      </c>
      <c r="S306" s="33">
        <f>3897.75</f>
        <v>3897.75</v>
      </c>
      <c r="T306" s="30">
        <f>857986</f>
        <v>857986</v>
      </c>
      <c r="U306" s="30">
        <f>478560</f>
        <v>478560</v>
      </c>
      <c r="V306" s="30">
        <f>3319898633</f>
        <v>3319898633</v>
      </c>
      <c r="W306" s="30">
        <f>1856511833</f>
        <v>1856511833</v>
      </c>
      <c r="X306" s="34">
        <f>20</f>
        <v>20</v>
      </c>
    </row>
    <row r="307" spans="1:24">
      <c r="A307" s="25" t="s">
        <v>1172</v>
      </c>
      <c r="B307" s="25" t="s">
        <v>664</v>
      </c>
      <c r="C307" s="25" t="s">
        <v>665</v>
      </c>
      <c r="D307" s="25" t="s">
        <v>949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2802</f>
        <v>2802</v>
      </c>
      <c r="L307" s="32" t="s">
        <v>1145</v>
      </c>
      <c r="M307" s="31">
        <f>2830</f>
        <v>2830</v>
      </c>
      <c r="N307" s="32" t="s">
        <v>1114</v>
      </c>
      <c r="O307" s="31">
        <f>2699</f>
        <v>2699</v>
      </c>
      <c r="P307" s="32" t="s">
        <v>682</v>
      </c>
      <c r="Q307" s="31">
        <f>2817</f>
        <v>2817</v>
      </c>
      <c r="R307" s="32" t="s">
        <v>1114</v>
      </c>
      <c r="S307" s="33">
        <f>2764.4</f>
        <v>2764.4</v>
      </c>
      <c r="T307" s="30">
        <f>1220776</f>
        <v>1220776</v>
      </c>
      <c r="U307" s="30">
        <f>450000</f>
        <v>450000</v>
      </c>
      <c r="V307" s="30">
        <f>3382527473</f>
        <v>3382527473</v>
      </c>
      <c r="W307" s="30">
        <f>1249489540</f>
        <v>1249489540</v>
      </c>
      <c r="X307" s="34">
        <f>20</f>
        <v>20</v>
      </c>
    </row>
    <row r="308" spans="1:24">
      <c r="A308" s="25" t="s">
        <v>1172</v>
      </c>
      <c r="B308" s="25" t="s">
        <v>666</v>
      </c>
      <c r="C308" s="25" t="s">
        <v>667</v>
      </c>
      <c r="D308" s="25" t="s">
        <v>668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2165</f>
        <v>2165</v>
      </c>
      <c r="L308" s="32" t="s">
        <v>1145</v>
      </c>
      <c r="M308" s="31">
        <f>2260</f>
        <v>2260</v>
      </c>
      <c r="N308" s="32" t="s">
        <v>1114</v>
      </c>
      <c r="O308" s="31">
        <f>2146</f>
        <v>2146</v>
      </c>
      <c r="P308" s="32" t="s">
        <v>1117</v>
      </c>
      <c r="Q308" s="31">
        <f>2249</f>
        <v>2249</v>
      </c>
      <c r="R308" s="32" t="s">
        <v>1114</v>
      </c>
      <c r="S308" s="33">
        <f>2200</f>
        <v>2200</v>
      </c>
      <c r="T308" s="30">
        <f>21292</f>
        <v>21292</v>
      </c>
      <c r="U308" s="30">
        <f>50</f>
        <v>50</v>
      </c>
      <c r="V308" s="30">
        <f>46827215</f>
        <v>46827215</v>
      </c>
      <c r="W308" s="30">
        <f>112255</f>
        <v>112255</v>
      </c>
      <c r="X308" s="34">
        <f>20</f>
        <v>20</v>
      </c>
    </row>
    <row r="309" spans="1:24">
      <c r="A309" s="25" t="s">
        <v>1172</v>
      </c>
      <c r="B309" s="25" t="s">
        <v>669</v>
      </c>
      <c r="C309" s="25" t="s">
        <v>670</v>
      </c>
      <c r="D309" s="25" t="s">
        <v>671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1213</f>
        <v>1213</v>
      </c>
      <c r="L309" s="32" t="s">
        <v>1145</v>
      </c>
      <c r="M309" s="31">
        <f>1311</f>
        <v>1311</v>
      </c>
      <c r="N309" s="32" t="s">
        <v>1114</v>
      </c>
      <c r="O309" s="31">
        <f>1213</f>
        <v>1213</v>
      </c>
      <c r="P309" s="32" t="s">
        <v>1145</v>
      </c>
      <c r="Q309" s="31">
        <f>1282</f>
        <v>1282</v>
      </c>
      <c r="R309" s="32" t="s">
        <v>1114</v>
      </c>
      <c r="S309" s="33">
        <f>1249.55</f>
        <v>1249.55</v>
      </c>
      <c r="T309" s="30">
        <f>57210</f>
        <v>57210</v>
      </c>
      <c r="U309" s="30">
        <f>30</f>
        <v>30</v>
      </c>
      <c r="V309" s="30">
        <f>71023766</f>
        <v>71023766</v>
      </c>
      <c r="W309" s="30">
        <f>37350</f>
        <v>37350</v>
      </c>
      <c r="X309" s="34">
        <f>20</f>
        <v>20</v>
      </c>
    </row>
    <row r="310" spans="1:24">
      <c r="A310" s="25" t="s">
        <v>1172</v>
      </c>
      <c r="B310" s="25" t="s">
        <v>687</v>
      </c>
      <c r="C310" s="25" t="s">
        <v>688</v>
      </c>
      <c r="D310" s="25" t="s">
        <v>689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1639</f>
        <v>1639</v>
      </c>
      <c r="L310" s="32" t="s">
        <v>1145</v>
      </c>
      <c r="M310" s="31">
        <f>1680</f>
        <v>1680</v>
      </c>
      <c r="N310" s="32" t="s">
        <v>683</v>
      </c>
      <c r="O310" s="31">
        <f>1590</f>
        <v>1590</v>
      </c>
      <c r="P310" s="32" t="s">
        <v>1111</v>
      </c>
      <c r="Q310" s="31">
        <f>1602</f>
        <v>1602</v>
      </c>
      <c r="R310" s="32" t="s">
        <v>1114</v>
      </c>
      <c r="S310" s="33">
        <f>1643.15</f>
        <v>1643.15</v>
      </c>
      <c r="T310" s="30">
        <f>26173</f>
        <v>26173</v>
      </c>
      <c r="U310" s="30" t="str">
        <f>"－"</f>
        <v>－</v>
      </c>
      <c r="V310" s="30">
        <f>43171643</f>
        <v>43171643</v>
      </c>
      <c r="W310" s="30" t="str">
        <f>"－"</f>
        <v>－</v>
      </c>
      <c r="X310" s="34">
        <f>20</f>
        <v>20</v>
      </c>
    </row>
    <row r="311" spans="1:24">
      <c r="A311" s="25" t="s">
        <v>1172</v>
      </c>
      <c r="B311" s="25" t="s">
        <v>690</v>
      </c>
      <c r="C311" s="25" t="s">
        <v>691</v>
      </c>
      <c r="D311" s="25" t="s">
        <v>692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2553</f>
        <v>2553</v>
      </c>
      <c r="L311" s="32" t="s">
        <v>1145</v>
      </c>
      <c r="M311" s="31">
        <f>2615</f>
        <v>2615</v>
      </c>
      <c r="N311" s="32" t="s">
        <v>1118</v>
      </c>
      <c r="O311" s="31">
        <f>2508</f>
        <v>2508</v>
      </c>
      <c r="P311" s="32" t="s">
        <v>759</v>
      </c>
      <c r="Q311" s="31">
        <f>2561</f>
        <v>2561</v>
      </c>
      <c r="R311" s="32" t="s">
        <v>1114</v>
      </c>
      <c r="S311" s="33">
        <f>2539.95</f>
        <v>2539.9499999999998</v>
      </c>
      <c r="T311" s="30">
        <f>4467</f>
        <v>4467</v>
      </c>
      <c r="U311" s="30" t="str">
        <f>"－"</f>
        <v>－</v>
      </c>
      <c r="V311" s="30">
        <f>11331737</f>
        <v>11331737</v>
      </c>
      <c r="W311" s="30" t="str">
        <f>"－"</f>
        <v>－</v>
      </c>
      <c r="X311" s="34">
        <f>20</f>
        <v>20</v>
      </c>
    </row>
    <row r="312" spans="1:24">
      <c r="A312" s="25" t="s">
        <v>1172</v>
      </c>
      <c r="B312" s="25" t="s">
        <v>693</v>
      </c>
      <c r="C312" s="25" t="s">
        <v>694</v>
      </c>
      <c r="D312" s="25" t="s">
        <v>695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12185</f>
        <v>12185</v>
      </c>
      <c r="L312" s="32" t="s">
        <v>1145</v>
      </c>
      <c r="M312" s="31">
        <f>12595</f>
        <v>12595</v>
      </c>
      <c r="N312" s="32" t="s">
        <v>1118</v>
      </c>
      <c r="O312" s="31">
        <f>12165</f>
        <v>12165</v>
      </c>
      <c r="P312" s="32" t="s">
        <v>675</v>
      </c>
      <c r="Q312" s="31">
        <f>12565</f>
        <v>12565</v>
      </c>
      <c r="R312" s="32" t="s">
        <v>1114</v>
      </c>
      <c r="S312" s="33">
        <f>12398.75</f>
        <v>12398.75</v>
      </c>
      <c r="T312" s="30">
        <f>235847</f>
        <v>235847</v>
      </c>
      <c r="U312" s="30">
        <f>124127</f>
        <v>124127</v>
      </c>
      <c r="V312" s="30">
        <f>2917363772</f>
        <v>2917363772</v>
      </c>
      <c r="W312" s="30">
        <f>1526954952</f>
        <v>1526954952</v>
      </c>
      <c r="X312" s="34">
        <f>20</f>
        <v>20</v>
      </c>
    </row>
    <row r="313" spans="1:24">
      <c r="A313" s="25" t="s">
        <v>1172</v>
      </c>
      <c r="B313" s="25" t="s">
        <v>696</v>
      </c>
      <c r="C313" s="25" t="s">
        <v>697</v>
      </c>
      <c r="D313" s="25" t="s">
        <v>698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20950</f>
        <v>20950</v>
      </c>
      <c r="L313" s="32" t="s">
        <v>1145</v>
      </c>
      <c r="M313" s="31">
        <f>22985</f>
        <v>22985</v>
      </c>
      <c r="N313" s="32" t="s">
        <v>1114</v>
      </c>
      <c r="O313" s="31">
        <f>20830</f>
        <v>20830</v>
      </c>
      <c r="P313" s="32" t="s">
        <v>674</v>
      </c>
      <c r="Q313" s="31">
        <f>22915</f>
        <v>22915</v>
      </c>
      <c r="R313" s="32" t="s">
        <v>1114</v>
      </c>
      <c r="S313" s="33">
        <f>22007</f>
        <v>22007</v>
      </c>
      <c r="T313" s="30">
        <f>413124</f>
        <v>413124</v>
      </c>
      <c r="U313" s="30">
        <f>65510</f>
        <v>65510</v>
      </c>
      <c r="V313" s="30">
        <f>9097112716</f>
        <v>9097112716</v>
      </c>
      <c r="W313" s="30">
        <f>1418558551</f>
        <v>1418558551</v>
      </c>
      <c r="X313" s="34">
        <f>20</f>
        <v>20</v>
      </c>
    </row>
    <row r="314" spans="1:24">
      <c r="A314" s="25" t="s">
        <v>1172</v>
      </c>
      <c r="B314" s="25" t="s">
        <v>699</v>
      </c>
      <c r="C314" s="25" t="s">
        <v>700</v>
      </c>
      <c r="D314" s="25" t="s">
        <v>701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12370</f>
        <v>12370</v>
      </c>
      <c r="L314" s="32" t="s">
        <v>1145</v>
      </c>
      <c r="M314" s="31">
        <f>13330</f>
        <v>13330</v>
      </c>
      <c r="N314" s="32" t="s">
        <v>1118</v>
      </c>
      <c r="O314" s="31">
        <f>12370</f>
        <v>12370</v>
      </c>
      <c r="P314" s="32" t="s">
        <v>1145</v>
      </c>
      <c r="Q314" s="31">
        <f>13205</f>
        <v>13205</v>
      </c>
      <c r="R314" s="32" t="s">
        <v>1114</v>
      </c>
      <c r="S314" s="33">
        <f>12928.75</f>
        <v>12928.75</v>
      </c>
      <c r="T314" s="30">
        <f>321557</f>
        <v>321557</v>
      </c>
      <c r="U314" s="30">
        <f>212418</f>
        <v>212418</v>
      </c>
      <c r="V314" s="30">
        <f>4182384617</f>
        <v>4182384617</v>
      </c>
      <c r="W314" s="30">
        <f>2763557862</f>
        <v>2763557862</v>
      </c>
      <c r="X314" s="34">
        <f>20</f>
        <v>20</v>
      </c>
    </row>
    <row r="315" spans="1:24">
      <c r="A315" s="25" t="s">
        <v>1172</v>
      </c>
      <c r="B315" s="25" t="s">
        <v>702</v>
      </c>
      <c r="C315" s="25" t="s">
        <v>703</v>
      </c>
      <c r="D315" s="25" t="s">
        <v>704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10</v>
      </c>
      <c r="K315" s="31">
        <f>383.8</f>
        <v>383.8</v>
      </c>
      <c r="L315" s="32" t="s">
        <v>1145</v>
      </c>
      <c r="M315" s="31">
        <f>409.3</f>
        <v>409.3</v>
      </c>
      <c r="N315" s="32" t="s">
        <v>1114</v>
      </c>
      <c r="O315" s="31">
        <f>379.5</f>
        <v>379.5</v>
      </c>
      <c r="P315" s="32" t="s">
        <v>674</v>
      </c>
      <c r="Q315" s="31">
        <f>408.7</f>
        <v>408.7</v>
      </c>
      <c r="R315" s="32" t="s">
        <v>1114</v>
      </c>
      <c r="S315" s="33">
        <f>395.02</f>
        <v>395.02</v>
      </c>
      <c r="T315" s="30">
        <f>13569540</f>
        <v>13569540</v>
      </c>
      <c r="U315" s="30">
        <f>1533980</f>
        <v>1533980</v>
      </c>
      <c r="V315" s="30">
        <f>5311036005</f>
        <v>5311036005</v>
      </c>
      <c r="W315" s="30">
        <f>600572994</f>
        <v>600572994</v>
      </c>
      <c r="X315" s="34">
        <f>20</f>
        <v>20</v>
      </c>
    </row>
    <row r="316" spans="1:24">
      <c r="A316" s="25" t="s">
        <v>1172</v>
      </c>
      <c r="B316" s="25" t="s">
        <v>705</v>
      </c>
      <c r="C316" s="25" t="s">
        <v>706</v>
      </c>
      <c r="D316" s="25" t="s">
        <v>707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10</v>
      </c>
      <c r="K316" s="31">
        <f>2383.5</f>
        <v>2383.5</v>
      </c>
      <c r="L316" s="32" t="s">
        <v>1145</v>
      </c>
      <c r="M316" s="31">
        <f>2480</f>
        <v>2480</v>
      </c>
      <c r="N316" s="32" t="s">
        <v>1118</v>
      </c>
      <c r="O316" s="31">
        <f>2380.5</f>
        <v>2380.5</v>
      </c>
      <c r="P316" s="32" t="s">
        <v>675</v>
      </c>
      <c r="Q316" s="31">
        <f>2473</f>
        <v>2473</v>
      </c>
      <c r="R316" s="32" t="s">
        <v>1114</v>
      </c>
      <c r="S316" s="33">
        <f>2438.48</f>
        <v>2438.48</v>
      </c>
      <c r="T316" s="30">
        <f>1376070</f>
        <v>1376070</v>
      </c>
      <c r="U316" s="30">
        <f>1024880</f>
        <v>1024880</v>
      </c>
      <c r="V316" s="30">
        <f>3345003947</f>
        <v>3345003947</v>
      </c>
      <c r="W316" s="30">
        <f>2489441817</f>
        <v>2489441817</v>
      </c>
      <c r="X316" s="34">
        <f>20</f>
        <v>20</v>
      </c>
    </row>
    <row r="317" spans="1:24">
      <c r="A317" s="25" t="s">
        <v>1172</v>
      </c>
      <c r="B317" s="25" t="s">
        <v>708</v>
      </c>
      <c r="C317" s="25" t="s">
        <v>709</v>
      </c>
      <c r="D317" s="25" t="s">
        <v>710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10</v>
      </c>
      <c r="K317" s="31">
        <f>4005</f>
        <v>4005</v>
      </c>
      <c r="L317" s="32" t="s">
        <v>1145</v>
      </c>
      <c r="M317" s="31">
        <f>4261</f>
        <v>4261</v>
      </c>
      <c r="N317" s="32" t="s">
        <v>1114</v>
      </c>
      <c r="O317" s="31">
        <f>3965</f>
        <v>3965</v>
      </c>
      <c r="P317" s="32" t="s">
        <v>674</v>
      </c>
      <c r="Q317" s="31">
        <f>4256</f>
        <v>4256</v>
      </c>
      <c r="R317" s="32" t="s">
        <v>1114</v>
      </c>
      <c r="S317" s="33">
        <f>4122.85</f>
        <v>4122.8500000000004</v>
      </c>
      <c r="T317" s="30">
        <f>46930</f>
        <v>46930</v>
      </c>
      <c r="U317" s="30">
        <f>120</f>
        <v>120</v>
      </c>
      <c r="V317" s="30">
        <f>195455460</f>
        <v>195455460</v>
      </c>
      <c r="W317" s="30">
        <f>509280</f>
        <v>509280</v>
      </c>
      <c r="X317" s="34">
        <f>20</f>
        <v>20</v>
      </c>
    </row>
    <row r="318" spans="1:24">
      <c r="A318" s="25" t="s">
        <v>1172</v>
      </c>
      <c r="B318" s="25" t="s">
        <v>711</v>
      </c>
      <c r="C318" s="25" t="s">
        <v>712</v>
      </c>
      <c r="D318" s="25" t="s">
        <v>713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3400</f>
        <v>3400</v>
      </c>
      <c r="L318" s="32" t="s">
        <v>1145</v>
      </c>
      <c r="M318" s="31">
        <f>3465</f>
        <v>3465</v>
      </c>
      <c r="N318" s="32" t="s">
        <v>1114</v>
      </c>
      <c r="O318" s="31">
        <f>3305</f>
        <v>3305</v>
      </c>
      <c r="P318" s="32" t="s">
        <v>682</v>
      </c>
      <c r="Q318" s="31">
        <f>3465</f>
        <v>3465</v>
      </c>
      <c r="R318" s="32" t="s">
        <v>1114</v>
      </c>
      <c r="S318" s="33">
        <f>3382.63</f>
        <v>3382.63</v>
      </c>
      <c r="T318" s="30">
        <f>149097</f>
        <v>149097</v>
      </c>
      <c r="U318" s="30">
        <f>146767</f>
        <v>146767</v>
      </c>
      <c r="V318" s="30">
        <f>516832569</f>
        <v>516832569</v>
      </c>
      <c r="W318" s="30">
        <f>508940759</f>
        <v>508940759</v>
      </c>
      <c r="X318" s="34">
        <f>19</f>
        <v>19</v>
      </c>
    </row>
    <row r="319" spans="1:24">
      <c r="A319" s="25" t="s">
        <v>1172</v>
      </c>
      <c r="B319" s="25" t="s">
        <v>714</v>
      </c>
      <c r="C319" s="25" t="s">
        <v>1035</v>
      </c>
      <c r="D319" s="25" t="s">
        <v>1034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1693</f>
        <v>1693</v>
      </c>
      <c r="L319" s="32" t="s">
        <v>1145</v>
      </c>
      <c r="M319" s="31">
        <f>1724</f>
        <v>1724</v>
      </c>
      <c r="N319" s="32" t="s">
        <v>1114</v>
      </c>
      <c r="O319" s="31">
        <f>1662</f>
        <v>1662</v>
      </c>
      <c r="P319" s="32" t="s">
        <v>1115</v>
      </c>
      <c r="Q319" s="31">
        <f>1721</f>
        <v>1721</v>
      </c>
      <c r="R319" s="32" t="s">
        <v>1114</v>
      </c>
      <c r="S319" s="33">
        <f>1693.65</f>
        <v>1693.65</v>
      </c>
      <c r="T319" s="30">
        <f>18920</f>
        <v>18920</v>
      </c>
      <c r="U319" s="30">
        <f>200</f>
        <v>200</v>
      </c>
      <c r="V319" s="30">
        <f>31878026</f>
        <v>31878026</v>
      </c>
      <c r="W319" s="30">
        <f>334000</f>
        <v>334000</v>
      </c>
      <c r="X319" s="34">
        <f>20</f>
        <v>20</v>
      </c>
    </row>
    <row r="320" spans="1:24">
      <c r="A320" s="25" t="s">
        <v>1172</v>
      </c>
      <c r="B320" s="25" t="s">
        <v>715</v>
      </c>
      <c r="C320" s="25" t="s">
        <v>716</v>
      </c>
      <c r="D320" s="25" t="s">
        <v>717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1996</f>
        <v>1996</v>
      </c>
      <c r="L320" s="32" t="s">
        <v>1145</v>
      </c>
      <c r="M320" s="31">
        <f>2055</f>
        <v>2055</v>
      </c>
      <c r="N320" s="32" t="s">
        <v>1124</v>
      </c>
      <c r="O320" s="31">
        <f>1983</f>
        <v>1983</v>
      </c>
      <c r="P320" s="32" t="s">
        <v>682</v>
      </c>
      <c r="Q320" s="31">
        <f>2042</f>
        <v>2042</v>
      </c>
      <c r="R320" s="32" t="s">
        <v>1114</v>
      </c>
      <c r="S320" s="33">
        <f>2013.75</f>
        <v>2013.75</v>
      </c>
      <c r="T320" s="30">
        <f>68577</f>
        <v>68577</v>
      </c>
      <c r="U320" s="30">
        <f>100</f>
        <v>100</v>
      </c>
      <c r="V320" s="30">
        <f>138156587</f>
        <v>138156587</v>
      </c>
      <c r="W320" s="30">
        <f>199900</f>
        <v>199900</v>
      </c>
      <c r="X320" s="34">
        <f>20</f>
        <v>20</v>
      </c>
    </row>
    <row r="321" spans="1:24">
      <c r="A321" s="25" t="s">
        <v>1172</v>
      </c>
      <c r="B321" s="25" t="s">
        <v>718</v>
      </c>
      <c r="C321" s="25" t="s">
        <v>719</v>
      </c>
      <c r="D321" s="25" t="s">
        <v>720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1634</f>
        <v>1634</v>
      </c>
      <c r="L321" s="32" t="s">
        <v>1145</v>
      </c>
      <c r="M321" s="31">
        <f>1664</f>
        <v>1664</v>
      </c>
      <c r="N321" s="32" t="s">
        <v>684</v>
      </c>
      <c r="O321" s="31">
        <f>1585</f>
        <v>1585</v>
      </c>
      <c r="P321" s="32" t="s">
        <v>1117</v>
      </c>
      <c r="Q321" s="31">
        <f>1657</f>
        <v>1657</v>
      </c>
      <c r="R321" s="32" t="s">
        <v>1114</v>
      </c>
      <c r="S321" s="33">
        <f>1630.7</f>
        <v>1630.7</v>
      </c>
      <c r="T321" s="30">
        <f>10541</f>
        <v>10541</v>
      </c>
      <c r="U321" s="30" t="str">
        <f>"－"</f>
        <v>－</v>
      </c>
      <c r="V321" s="30">
        <f>17237881</f>
        <v>17237881</v>
      </c>
      <c r="W321" s="30" t="str">
        <f>"－"</f>
        <v>－</v>
      </c>
      <c r="X321" s="34">
        <f>20</f>
        <v>20</v>
      </c>
    </row>
    <row r="322" spans="1:24">
      <c r="A322" s="25" t="s">
        <v>1172</v>
      </c>
      <c r="B322" s="25" t="s">
        <v>721</v>
      </c>
      <c r="C322" s="25" t="s">
        <v>722</v>
      </c>
      <c r="D322" s="25" t="s">
        <v>723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2919</f>
        <v>2919</v>
      </c>
      <c r="L322" s="32" t="s">
        <v>1145</v>
      </c>
      <c r="M322" s="31">
        <f>3040</f>
        <v>3040</v>
      </c>
      <c r="N322" s="32" t="s">
        <v>1114</v>
      </c>
      <c r="O322" s="31">
        <f>2878</f>
        <v>2878</v>
      </c>
      <c r="P322" s="32" t="s">
        <v>1117</v>
      </c>
      <c r="Q322" s="31">
        <f>3025</f>
        <v>3025</v>
      </c>
      <c r="R322" s="32" t="s">
        <v>1114</v>
      </c>
      <c r="S322" s="33">
        <f>2966.9</f>
        <v>2966.9</v>
      </c>
      <c r="T322" s="30">
        <f>34093</f>
        <v>34093</v>
      </c>
      <c r="U322" s="30">
        <f>50</f>
        <v>50</v>
      </c>
      <c r="V322" s="30">
        <f>101528842</f>
        <v>101528842</v>
      </c>
      <c r="W322" s="30">
        <f>151000</f>
        <v>151000</v>
      </c>
      <c r="X322" s="34">
        <f>20</f>
        <v>20</v>
      </c>
    </row>
    <row r="323" spans="1:24">
      <c r="A323" s="25" t="s">
        <v>1172</v>
      </c>
      <c r="B323" s="25" t="s">
        <v>724</v>
      </c>
      <c r="C323" s="25" t="s">
        <v>1033</v>
      </c>
      <c r="D323" s="25" t="s">
        <v>1032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3265</f>
        <v>3265</v>
      </c>
      <c r="L323" s="32" t="s">
        <v>1145</v>
      </c>
      <c r="M323" s="31">
        <f>3295</f>
        <v>3295</v>
      </c>
      <c r="N323" s="32" t="s">
        <v>1145</v>
      </c>
      <c r="O323" s="31">
        <f>3135</f>
        <v>3135</v>
      </c>
      <c r="P323" s="32" t="s">
        <v>682</v>
      </c>
      <c r="Q323" s="31">
        <f>3240</f>
        <v>3240</v>
      </c>
      <c r="R323" s="32" t="s">
        <v>1114</v>
      </c>
      <c r="S323" s="33">
        <f>3208.25</f>
        <v>3208.25</v>
      </c>
      <c r="T323" s="30">
        <f>640337</f>
        <v>640337</v>
      </c>
      <c r="U323" s="30">
        <f>226054</f>
        <v>226054</v>
      </c>
      <c r="V323" s="30">
        <f>2047450574</f>
        <v>2047450574</v>
      </c>
      <c r="W323" s="30">
        <f>725612859</f>
        <v>725612859</v>
      </c>
      <c r="X323" s="34">
        <f>20</f>
        <v>20</v>
      </c>
    </row>
    <row r="324" spans="1:24">
      <c r="A324" s="25" t="s">
        <v>1172</v>
      </c>
      <c r="B324" s="25" t="s">
        <v>725</v>
      </c>
      <c r="C324" s="25" t="s">
        <v>726</v>
      </c>
      <c r="D324" s="25" t="s">
        <v>727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</v>
      </c>
      <c r="K324" s="31">
        <f>37220</f>
        <v>37220</v>
      </c>
      <c r="L324" s="32" t="s">
        <v>1145</v>
      </c>
      <c r="M324" s="31">
        <f>37480</f>
        <v>37480</v>
      </c>
      <c r="N324" s="32" t="s">
        <v>1114</v>
      </c>
      <c r="O324" s="31">
        <f>35850</f>
        <v>35850</v>
      </c>
      <c r="P324" s="32" t="s">
        <v>682</v>
      </c>
      <c r="Q324" s="31">
        <f>37480</f>
        <v>37480</v>
      </c>
      <c r="R324" s="32" t="s">
        <v>1114</v>
      </c>
      <c r="S324" s="33">
        <f>36738.13</f>
        <v>36738.129999999997</v>
      </c>
      <c r="T324" s="30">
        <f>66</f>
        <v>66</v>
      </c>
      <c r="U324" s="30" t="str">
        <f>"－"</f>
        <v>－</v>
      </c>
      <c r="V324" s="30">
        <f>2418720</f>
        <v>2418720</v>
      </c>
      <c r="W324" s="30" t="str">
        <f>"－"</f>
        <v>－</v>
      </c>
      <c r="X324" s="34">
        <f>16</f>
        <v>16</v>
      </c>
    </row>
    <row r="325" spans="1:24">
      <c r="A325" s="25" t="s">
        <v>1172</v>
      </c>
      <c r="B325" s="25" t="s">
        <v>728</v>
      </c>
      <c r="C325" s="25" t="s">
        <v>729</v>
      </c>
      <c r="D325" s="25" t="s">
        <v>730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</v>
      </c>
      <c r="K325" s="31">
        <f>2923</f>
        <v>2923</v>
      </c>
      <c r="L325" s="32" t="s">
        <v>1145</v>
      </c>
      <c r="M325" s="31">
        <f>2967</f>
        <v>2967</v>
      </c>
      <c r="N325" s="32" t="s">
        <v>1111</v>
      </c>
      <c r="O325" s="31">
        <f>2807</f>
        <v>2807</v>
      </c>
      <c r="P325" s="32" t="s">
        <v>682</v>
      </c>
      <c r="Q325" s="31">
        <f>2963</f>
        <v>2963</v>
      </c>
      <c r="R325" s="32" t="s">
        <v>1114</v>
      </c>
      <c r="S325" s="33">
        <f>2894.2</f>
        <v>2894.2</v>
      </c>
      <c r="T325" s="30">
        <f>13636</f>
        <v>13636</v>
      </c>
      <c r="U325" s="30" t="str">
        <f>"－"</f>
        <v>－</v>
      </c>
      <c r="V325" s="30">
        <f>39362461</f>
        <v>39362461</v>
      </c>
      <c r="W325" s="30" t="str">
        <f>"－"</f>
        <v>－</v>
      </c>
      <c r="X325" s="34">
        <f>15</f>
        <v>15</v>
      </c>
    </row>
    <row r="326" spans="1:24">
      <c r="A326" s="25" t="s">
        <v>1172</v>
      </c>
      <c r="B326" s="25" t="s">
        <v>731</v>
      </c>
      <c r="C326" s="25" t="s">
        <v>732</v>
      </c>
      <c r="D326" s="25" t="s">
        <v>733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</v>
      </c>
      <c r="K326" s="31">
        <f>4780</f>
        <v>4780</v>
      </c>
      <c r="L326" s="32" t="s">
        <v>1145</v>
      </c>
      <c r="M326" s="31">
        <f>4910</f>
        <v>4910</v>
      </c>
      <c r="N326" s="32" t="s">
        <v>1117</v>
      </c>
      <c r="O326" s="31">
        <f>4590</f>
        <v>4590</v>
      </c>
      <c r="P326" s="32" t="s">
        <v>674</v>
      </c>
      <c r="Q326" s="31">
        <f>4830</f>
        <v>4830</v>
      </c>
      <c r="R326" s="32" t="s">
        <v>1114</v>
      </c>
      <c r="S326" s="33">
        <f>4776.75</f>
        <v>4776.75</v>
      </c>
      <c r="T326" s="30">
        <f>8744746</f>
        <v>8744746</v>
      </c>
      <c r="U326" s="30">
        <f>1518567</f>
        <v>1518567</v>
      </c>
      <c r="V326" s="30">
        <f>41834775155</f>
        <v>41834775155</v>
      </c>
      <c r="W326" s="30">
        <f>7318576070</f>
        <v>7318576070</v>
      </c>
      <c r="X326" s="34">
        <f>20</f>
        <v>20</v>
      </c>
    </row>
    <row r="327" spans="1:24">
      <c r="A327" s="25" t="s">
        <v>1172</v>
      </c>
      <c r="B327" s="25" t="s">
        <v>734</v>
      </c>
      <c r="C327" s="25" t="s">
        <v>735</v>
      </c>
      <c r="D327" s="25" t="s">
        <v>736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2060</f>
        <v>2060</v>
      </c>
      <c r="L327" s="32" t="s">
        <v>1145</v>
      </c>
      <c r="M327" s="31">
        <f>2130</f>
        <v>2130</v>
      </c>
      <c r="N327" s="32" t="s">
        <v>1114</v>
      </c>
      <c r="O327" s="31">
        <f>2007</f>
        <v>2007</v>
      </c>
      <c r="P327" s="32" t="s">
        <v>682</v>
      </c>
      <c r="Q327" s="31">
        <f>2115</f>
        <v>2115</v>
      </c>
      <c r="R327" s="32" t="s">
        <v>1114</v>
      </c>
      <c r="S327" s="33">
        <f>2067.95</f>
        <v>2067.9499999999998</v>
      </c>
      <c r="T327" s="30">
        <f>15176</f>
        <v>15176</v>
      </c>
      <c r="U327" s="30">
        <f>10</f>
        <v>10</v>
      </c>
      <c r="V327" s="30">
        <f>31658191</f>
        <v>31658191</v>
      </c>
      <c r="W327" s="30">
        <f>20581</f>
        <v>20581</v>
      </c>
      <c r="X327" s="34">
        <f>20</f>
        <v>20</v>
      </c>
    </row>
    <row r="328" spans="1:24">
      <c r="A328" s="25" t="s">
        <v>1172</v>
      </c>
      <c r="B328" s="25" t="s">
        <v>737</v>
      </c>
      <c r="C328" s="25" t="s">
        <v>738</v>
      </c>
      <c r="D328" s="25" t="s">
        <v>739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1993</f>
        <v>1993</v>
      </c>
      <c r="L328" s="32" t="s">
        <v>1145</v>
      </c>
      <c r="M328" s="31">
        <f>1993</f>
        <v>1993</v>
      </c>
      <c r="N328" s="32" t="s">
        <v>1145</v>
      </c>
      <c r="O328" s="31">
        <f>1850</f>
        <v>1850</v>
      </c>
      <c r="P328" s="32" t="s">
        <v>682</v>
      </c>
      <c r="Q328" s="31">
        <f>1918</f>
        <v>1918</v>
      </c>
      <c r="R328" s="32" t="s">
        <v>1114</v>
      </c>
      <c r="S328" s="33">
        <f>1908.75</f>
        <v>1908.75</v>
      </c>
      <c r="T328" s="30">
        <f>9065</f>
        <v>9065</v>
      </c>
      <c r="U328" s="30" t="str">
        <f>"－"</f>
        <v>－</v>
      </c>
      <c r="V328" s="30">
        <f>17321481</f>
        <v>17321481</v>
      </c>
      <c r="W328" s="30" t="str">
        <f>"－"</f>
        <v>－</v>
      </c>
      <c r="X328" s="34">
        <f>20</f>
        <v>20</v>
      </c>
    </row>
    <row r="329" spans="1:24">
      <c r="A329" s="25" t="s">
        <v>1172</v>
      </c>
      <c r="B329" s="25" t="s">
        <v>740</v>
      </c>
      <c r="C329" s="25" t="s">
        <v>741</v>
      </c>
      <c r="D329" s="25" t="s">
        <v>742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10</v>
      </c>
      <c r="K329" s="31">
        <f>5745</f>
        <v>5745</v>
      </c>
      <c r="L329" s="32" t="s">
        <v>1145</v>
      </c>
      <c r="M329" s="31">
        <f>5931</f>
        <v>5931</v>
      </c>
      <c r="N329" s="32" t="s">
        <v>1114</v>
      </c>
      <c r="O329" s="31">
        <f>5697</f>
        <v>5697</v>
      </c>
      <c r="P329" s="32" t="s">
        <v>759</v>
      </c>
      <c r="Q329" s="31">
        <f>5931</f>
        <v>5931</v>
      </c>
      <c r="R329" s="32" t="s">
        <v>1114</v>
      </c>
      <c r="S329" s="33">
        <f>5803.41</f>
        <v>5803.41</v>
      </c>
      <c r="T329" s="30">
        <f>3070</f>
        <v>3070</v>
      </c>
      <c r="U329" s="30" t="str">
        <f>"－"</f>
        <v>－</v>
      </c>
      <c r="V329" s="30">
        <f>17869150</f>
        <v>17869150</v>
      </c>
      <c r="W329" s="30" t="str">
        <f>"－"</f>
        <v>－</v>
      </c>
      <c r="X329" s="34">
        <f>17</f>
        <v>17</v>
      </c>
    </row>
    <row r="330" spans="1:24">
      <c r="A330" s="25" t="s">
        <v>1172</v>
      </c>
      <c r="B330" s="25" t="s">
        <v>743</v>
      </c>
      <c r="C330" s="25" t="s">
        <v>744</v>
      </c>
      <c r="D330" s="25" t="s">
        <v>745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10</v>
      </c>
      <c r="K330" s="31">
        <f>3682</f>
        <v>3682</v>
      </c>
      <c r="L330" s="32" t="s">
        <v>1145</v>
      </c>
      <c r="M330" s="31">
        <f>3766</f>
        <v>3766</v>
      </c>
      <c r="N330" s="32" t="s">
        <v>759</v>
      </c>
      <c r="O330" s="31">
        <f>3655</f>
        <v>3655</v>
      </c>
      <c r="P330" s="32" t="s">
        <v>759</v>
      </c>
      <c r="Q330" s="31">
        <f>3693</f>
        <v>3693</v>
      </c>
      <c r="R330" s="32" t="s">
        <v>1114</v>
      </c>
      <c r="S330" s="33">
        <f>3700.07</f>
        <v>3700.07</v>
      </c>
      <c r="T330" s="30">
        <f>1159150</f>
        <v>1159150</v>
      </c>
      <c r="U330" s="30">
        <f>1122900</f>
        <v>1122900</v>
      </c>
      <c r="V330" s="30">
        <f>4295611075</f>
        <v>4295611075</v>
      </c>
      <c r="W330" s="30">
        <f>4161605335</f>
        <v>4161605335</v>
      </c>
      <c r="X330" s="34">
        <f>15</f>
        <v>15</v>
      </c>
    </row>
    <row r="331" spans="1:24">
      <c r="A331" s="25" t="s">
        <v>1172</v>
      </c>
      <c r="B331" s="25" t="s">
        <v>746</v>
      </c>
      <c r="C331" s="25" t="s">
        <v>747</v>
      </c>
      <c r="D331" s="25" t="s">
        <v>748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10</v>
      </c>
      <c r="K331" s="31">
        <f>619.1</f>
        <v>619.1</v>
      </c>
      <c r="L331" s="32" t="s">
        <v>1145</v>
      </c>
      <c r="M331" s="31">
        <f>639.9</f>
        <v>639.9</v>
      </c>
      <c r="N331" s="32" t="s">
        <v>676</v>
      </c>
      <c r="O331" s="31">
        <f>619.1</f>
        <v>619.1</v>
      </c>
      <c r="P331" s="32" t="s">
        <v>1145</v>
      </c>
      <c r="Q331" s="31">
        <f>625.8</f>
        <v>625.79999999999995</v>
      </c>
      <c r="R331" s="32" t="s">
        <v>1114</v>
      </c>
      <c r="S331" s="33">
        <f>627.29</f>
        <v>627.29</v>
      </c>
      <c r="T331" s="30">
        <f>30720</f>
        <v>30720</v>
      </c>
      <c r="U331" s="30" t="str">
        <f>"－"</f>
        <v>－</v>
      </c>
      <c r="V331" s="30">
        <f>19256146</f>
        <v>19256146</v>
      </c>
      <c r="W331" s="30" t="str">
        <f>"－"</f>
        <v>－</v>
      </c>
      <c r="X331" s="34">
        <f>19</f>
        <v>19</v>
      </c>
    </row>
    <row r="332" spans="1:24">
      <c r="A332" s="25" t="s">
        <v>1172</v>
      </c>
      <c r="B332" s="25" t="s">
        <v>749</v>
      </c>
      <c r="C332" s="25" t="s">
        <v>750</v>
      </c>
      <c r="D332" s="25" t="s">
        <v>751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2362</f>
        <v>2362</v>
      </c>
      <c r="L332" s="32" t="s">
        <v>1145</v>
      </c>
      <c r="M332" s="31">
        <f>2461</f>
        <v>2461</v>
      </c>
      <c r="N332" s="32" t="s">
        <v>676</v>
      </c>
      <c r="O332" s="31">
        <f>2292</f>
        <v>2292</v>
      </c>
      <c r="P332" s="32" t="s">
        <v>1115</v>
      </c>
      <c r="Q332" s="31">
        <f>2452</f>
        <v>2452</v>
      </c>
      <c r="R332" s="32" t="s">
        <v>1114</v>
      </c>
      <c r="S332" s="33">
        <f>2376.3</f>
        <v>2376.3000000000002</v>
      </c>
      <c r="T332" s="30">
        <f>4720</f>
        <v>4720</v>
      </c>
      <c r="U332" s="30" t="str">
        <f>"－"</f>
        <v>－</v>
      </c>
      <c r="V332" s="30">
        <f>11276724</f>
        <v>11276724</v>
      </c>
      <c r="W332" s="30" t="str">
        <f>"－"</f>
        <v>－</v>
      </c>
      <c r="X332" s="34">
        <f>20</f>
        <v>20</v>
      </c>
    </row>
    <row r="333" spans="1:24">
      <c r="A333" s="25" t="s">
        <v>1172</v>
      </c>
      <c r="B333" s="25" t="s">
        <v>752</v>
      </c>
      <c r="C333" s="25" t="s">
        <v>1031</v>
      </c>
      <c r="D333" s="25" t="s">
        <v>1030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2170</f>
        <v>2170</v>
      </c>
      <c r="L333" s="32" t="s">
        <v>1145</v>
      </c>
      <c r="M333" s="31">
        <f>2215</f>
        <v>2215</v>
      </c>
      <c r="N333" s="32" t="s">
        <v>1114</v>
      </c>
      <c r="O333" s="31">
        <f>2139</f>
        <v>2139</v>
      </c>
      <c r="P333" s="32" t="s">
        <v>1112</v>
      </c>
      <c r="Q333" s="31">
        <f>2200</f>
        <v>2200</v>
      </c>
      <c r="R333" s="32" t="s">
        <v>1114</v>
      </c>
      <c r="S333" s="33">
        <f>2171.75</f>
        <v>2171.75</v>
      </c>
      <c r="T333" s="30">
        <f>4423</f>
        <v>4423</v>
      </c>
      <c r="U333" s="30">
        <f>3</f>
        <v>3</v>
      </c>
      <c r="V333" s="30">
        <f>9568345</f>
        <v>9568345</v>
      </c>
      <c r="W333" s="30">
        <f>6465</f>
        <v>6465</v>
      </c>
      <c r="X333" s="34">
        <f>20</f>
        <v>20</v>
      </c>
    </row>
    <row r="334" spans="1:24">
      <c r="A334" s="25" t="s">
        <v>1172</v>
      </c>
      <c r="B334" s="25" t="s">
        <v>753</v>
      </c>
      <c r="C334" s="25" t="s">
        <v>754</v>
      </c>
      <c r="D334" s="25" t="s">
        <v>755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8503</f>
        <v>8503</v>
      </c>
      <c r="L334" s="32" t="s">
        <v>1145</v>
      </c>
      <c r="M334" s="31">
        <f>8900</f>
        <v>8900</v>
      </c>
      <c r="N334" s="32" t="s">
        <v>679</v>
      </c>
      <c r="O334" s="31">
        <f>8460</f>
        <v>8460</v>
      </c>
      <c r="P334" s="32" t="s">
        <v>759</v>
      </c>
      <c r="Q334" s="31">
        <f>8860</f>
        <v>8860</v>
      </c>
      <c r="R334" s="32" t="s">
        <v>1114</v>
      </c>
      <c r="S334" s="33">
        <f>8679.68</f>
        <v>8679.68</v>
      </c>
      <c r="T334" s="30">
        <f>75019</f>
        <v>75019</v>
      </c>
      <c r="U334" s="30">
        <f>72000</f>
        <v>72000</v>
      </c>
      <c r="V334" s="30">
        <f>643802986</f>
        <v>643802986</v>
      </c>
      <c r="W334" s="30">
        <f>617479200</f>
        <v>617479200</v>
      </c>
      <c r="X334" s="34">
        <f>19</f>
        <v>19</v>
      </c>
    </row>
    <row r="335" spans="1:24">
      <c r="A335" s="25" t="s">
        <v>1172</v>
      </c>
      <c r="B335" s="25" t="s">
        <v>756</v>
      </c>
      <c r="C335" s="25" t="s">
        <v>757</v>
      </c>
      <c r="D335" s="25" t="s">
        <v>758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</v>
      </c>
      <c r="K335" s="31">
        <f>5428</f>
        <v>5428</v>
      </c>
      <c r="L335" s="32" t="s">
        <v>1145</v>
      </c>
      <c r="M335" s="31">
        <f>5555</f>
        <v>5555</v>
      </c>
      <c r="N335" s="32" t="s">
        <v>680</v>
      </c>
      <c r="O335" s="31">
        <f>5428</f>
        <v>5428</v>
      </c>
      <c r="P335" s="32" t="s">
        <v>1145</v>
      </c>
      <c r="Q335" s="31">
        <f>5513</f>
        <v>5513</v>
      </c>
      <c r="R335" s="32" t="s">
        <v>1114</v>
      </c>
      <c r="S335" s="33">
        <f>5508.8</f>
        <v>5508.8</v>
      </c>
      <c r="T335" s="30">
        <f>16765</f>
        <v>16765</v>
      </c>
      <c r="U335" s="30" t="str">
        <f>"－"</f>
        <v>－</v>
      </c>
      <c r="V335" s="30">
        <f>92657036</f>
        <v>92657036</v>
      </c>
      <c r="W335" s="30" t="str">
        <f>"－"</f>
        <v>－</v>
      </c>
      <c r="X335" s="34">
        <f>20</f>
        <v>20</v>
      </c>
    </row>
    <row r="336" spans="1:24">
      <c r="A336" s="25" t="s">
        <v>1172</v>
      </c>
      <c r="B336" s="25" t="s">
        <v>762</v>
      </c>
      <c r="C336" s="25" t="s">
        <v>763</v>
      </c>
      <c r="D336" s="25" t="s">
        <v>764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27000</f>
        <v>27000</v>
      </c>
      <c r="L336" s="32" t="s">
        <v>1145</v>
      </c>
      <c r="M336" s="31">
        <f>29660</f>
        <v>29660</v>
      </c>
      <c r="N336" s="32" t="s">
        <v>1114</v>
      </c>
      <c r="O336" s="31">
        <f>26840</f>
        <v>26840</v>
      </c>
      <c r="P336" s="32" t="s">
        <v>674</v>
      </c>
      <c r="Q336" s="31">
        <f>29605</f>
        <v>29605</v>
      </c>
      <c r="R336" s="32" t="s">
        <v>1114</v>
      </c>
      <c r="S336" s="33">
        <f>28414.75</f>
        <v>28414.75</v>
      </c>
      <c r="T336" s="30">
        <f>92943</f>
        <v>92943</v>
      </c>
      <c r="U336" s="30" t="str">
        <f>"－"</f>
        <v>－</v>
      </c>
      <c r="V336" s="30">
        <f>2641430355</f>
        <v>2641430355</v>
      </c>
      <c r="W336" s="30" t="str">
        <f>"－"</f>
        <v>－</v>
      </c>
      <c r="X336" s="34">
        <f>20</f>
        <v>20</v>
      </c>
    </row>
    <row r="337" spans="1:24">
      <c r="A337" s="25" t="s">
        <v>1172</v>
      </c>
      <c r="B337" s="25" t="s">
        <v>765</v>
      </c>
      <c r="C337" s="25" t="s">
        <v>766</v>
      </c>
      <c r="D337" s="25" t="s">
        <v>767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11615</f>
        <v>11615</v>
      </c>
      <c r="L337" s="32" t="s">
        <v>1145</v>
      </c>
      <c r="M337" s="31">
        <f>12550</f>
        <v>12550</v>
      </c>
      <c r="N337" s="32" t="s">
        <v>1118</v>
      </c>
      <c r="O337" s="31">
        <f>11615</f>
        <v>11615</v>
      </c>
      <c r="P337" s="32" t="s">
        <v>1145</v>
      </c>
      <c r="Q337" s="31">
        <f>12410</f>
        <v>12410</v>
      </c>
      <c r="R337" s="32" t="s">
        <v>1114</v>
      </c>
      <c r="S337" s="33">
        <f>12155.5</f>
        <v>12155.5</v>
      </c>
      <c r="T337" s="30">
        <f>195423</f>
        <v>195423</v>
      </c>
      <c r="U337" s="30">
        <f>42031</f>
        <v>42031</v>
      </c>
      <c r="V337" s="30">
        <f>2334690250</f>
        <v>2334690250</v>
      </c>
      <c r="W337" s="30">
        <f>500012920</f>
        <v>500012920</v>
      </c>
      <c r="X337" s="34">
        <f>20</f>
        <v>20</v>
      </c>
    </row>
    <row r="338" spans="1:24">
      <c r="A338" s="25" t="s">
        <v>1172</v>
      </c>
      <c r="B338" s="25" t="s">
        <v>768</v>
      </c>
      <c r="C338" s="25" t="s">
        <v>769</v>
      </c>
      <c r="D338" s="25" t="s">
        <v>770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</v>
      </c>
      <c r="K338" s="31">
        <f>19940</f>
        <v>19940</v>
      </c>
      <c r="L338" s="32" t="s">
        <v>1145</v>
      </c>
      <c r="M338" s="31">
        <f>19940</f>
        <v>19940</v>
      </c>
      <c r="N338" s="32" t="s">
        <v>1145</v>
      </c>
      <c r="O338" s="31">
        <f>18465</f>
        <v>18465</v>
      </c>
      <c r="P338" s="32" t="s">
        <v>1118</v>
      </c>
      <c r="Q338" s="31">
        <f>18655</f>
        <v>18655</v>
      </c>
      <c r="R338" s="32" t="s">
        <v>1114</v>
      </c>
      <c r="S338" s="33">
        <f>19063.75</f>
        <v>19063.75</v>
      </c>
      <c r="T338" s="30">
        <f>91921</f>
        <v>91921</v>
      </c>
      <c r="U338" s="30">
        <f>1</f>
        <v>1</v>
      </c>
      <c r="V338" s="30">
        <f>1749571870</f>
        <v>1749571870</v>
      </c>
      <c r="W338" s="30">
        <f>18595</f>
        <v>18595</v>
      </c>
      <c r="X338" s="34">
        <f>20</f>
        <v>20</v>
      </c>
    </row>
    <row r="339" spans="1:24">
      <c r="A339" s="25" t="s">
        <v>1172</v>
      </c>
      <c r="B339" s="25" t="s">
        <v>771</v>
      </c>
      <c r="C339" s="25" t="s">
        <v>772</v>
      </c>
      <c r="D339" s="25" t="s">
        <v>773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4075</f>
        <v>4075</v>
      </c>
      <c r="L339" s="32" t="s">
        <v>675</v>
      </c>
      <c r="M339" s="31">
        <f>4204</f>
        <v>4204</v>
      </c>
      <c r="N339" s="32" t="s">
        <v>682</v>
      </c>
      <c r="O339" s="31">
        <f>4054</f>
        <v>4054</v>
      </c>
      <c r="P339" s="32" t="s">
        <v>683</v>
      </c>
      <c r="Q339" s="31">
        <f>4077</f>
        <v>4077</v>
      </c>
      <c r="R339" s="32" t="s">
        <v>1114</v>
      </c>
      <c r="S339" s="33">
        <f>4108</f>
        <v>4108</v>
      </c>
      <c r="T339" s="30">
        <f>240240</f>
        <v>240240</v>
      </c>
      <c r="U339" s="30">
        <f>237210</f>
        <v>237210</v>
      </c>
      <c r="V339" s="30">
        <f>985615177</f>
        <v>985615177</v>
      </c>
      <c r="W339" s="30">
        <f>973189927</f>
        <v>973189927</v>
      </c>
      <c r="X339" s="34">
        <f>15</f>
        <v>15</v>
      </c>
    </row>
    <row r="340" spans="1:24">
      <c r="A340" s="25" t="s">
        <v>1172</v>
      </c>
      <c r="B340" s="25" t="s">
        <v>774</v>
      </c>
      <c r="C340" s="25" t="s">
        <v>775</v>
      </c>
      <c r="D340" s="25" t="s">
        <v>776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10</v>
      </c>
      <c r="K340" s="31">
        <f>5405</f>
        <v>5405</v>
      </c>
      <c r="L340" s="32" t="s">
        <v>1145</v>
      </c>
      <c r="M340" s="31">
        <f>5609</f>
        <v>5609</v>
      </c>
      <c r="N340" s="32" t="s">
        <v>1114</v>
      </c>
      <c r="O340" s="31">
        <f>5360</f>
        <v>5360</v>
      </c>
      <c r="P340" s="32" t="s">
        <v>759</v>
      </c>
      <c r="Q340" s="31">
        <f>5544</f>
        <v>5544</v>
      </c>
      <c r="R340" s="32" t="s">
        <v>1114</v>
      </c>
      <c r="S340" s="33">
        <f>5481.65</f>
        <v>5481.65</v>
      </c>
      <c r="T340" s="30">
        <f>84970</f>
        <v>84970</v>
      </c>
      <c r="U340" s="30">
        <f>63600</f>
        <v>63600</v>
      </c>
      <c r="V340" s="30">
        <f>465755297</f>
        <v>465755297</v>
      </c>
      <c r="W340" s="30">
        <f>349005157</f>
        <v>349005157</v>
      </c>
      <c r="X340" s="34">
        <f>20</f>
        <v>20</v>
      </c>
    </row>
    <row r="341" spans="1:24">
      <c r="A341" s="25" t="s">
        <v>1172</v>
      </c>
      <c r="B341" s="25" t="s">
        <v>786</v>
      </c>
      <c r="C341" s="25" t="s">
        <v>787</v>
      </c>
      <c r="D341" s="25" t="s">
        <v>788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2434</f>
        <v>2434</v>
      </c>
      <c r="L341" s="32" t="s">
        <v>1145</v>
      </c>
      <c r="M341" s="31">
        <f>2623.5</f>
        <v>2623.5</v>
      </c>
      <c r="N341" s="32" t="s">
        <v>1118</v>
      </c>
      <c r="O341" s="31">
        <f>2429</f>
        <v>2429</v>
      </c>
      <c r="P341" s="32" t="s">
        <v>1145</v>
      </c>
      <c r="Q341" s="31">
        <f>2597</f>
        <v>2597</v>
      </c>
      <c r="R341" s="32" t="s">
        <v>1114</v>
      </c>
      <c r="S341" s="33">
        <f>2542.25</f>
        <v>2542.25</v>
      </c>
      <c r="T341" s="30">
        <f>1179820</f>
        <v>1179820</v>
      </c>
      <c r="U341" s="30">
        <f>155430</f>
        <v>155430</v>
      </c>
      <c r="V341" s="30">
        <f>3005522148</f>
        <v>3005522148</v>
      </c>
      <c r="W341" s="30">
        <f>401124288</f>
        <v>401124288</v>
      </c>
      <c r="X341" s="34">
        <f>20</f>
        <v>20</v>
      </c>
    </row>
    <row r="342" spans="1:24">
      <c r="A342" s="25" t="s">
        <v>1172</v>
      </c>
      <c r="B342" s="25" t="s">
        <v>789</v>
      </c>
      <c r="C342" s="25" t="s">
        <v>790</v>
      </c>
      <c r="D342" s="25" t="s">
        <v>791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2058</f>
        <v>2058</v>
      </c>
      <c r="L342" s="32" t="s">
        <v>1145</v>
      </c>
      <c r="M342" s="31">
        <f>2093.5</f>
        <v>2093.5</v>
      </c>
      <c r="N342" s="32" t="s">
        <v>679</v>
      </c>
      <c r="O342" s="31">
        <f>2043</f>
        <v>2043</v>
      </c>
      <c r="P342" s="32" t="s">
        <v>682</v>
      </c>
      <c r="Q342" s="31">
        <f>2074</f>
        <v>2074</v>
      </c>
      <c r="R342" s="32" t="s">
        <v>1114</v>
      </c>
      <c r="S342" s="33">
        <f>2062.05</f>
        <v>2062.0500000000002</v>
      </c>
      <c r="T342" s="30">
        <f>101270</f>
        <v>101270</v>
      </c>
      <c r="U342" s="30">
        <f>15100</f>
        <v>15100</v>
      </c>
      <c r="V342" s="30">
        <f>209240585</f>
        <v>209240585</v>
      </c>
      <c r="W342" s="30">
        <f>31387255</f>
        <v>31387255</v>
      </c>
      <c r="X342" s="34">
        <f>20</f>
        <v>20</v>
      </c>
    </row>
    <row r="343" spans="1:24">
      <c r="A343" s="25" t="s">
        <v>1172</v>
      </c>
      <c r="B343" s="25" t="s">
        <v>792</v>
      </c>
      <c r="C343" s="25" t="s">
        <v>793</v>
      </c>
      <c r="D343" s="25" t="s">
        <v>794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1884</f>
        <v>1884</v>
      </c>
      <c r="L343" s="32" t="s">
        <v>1145</v>
      </c>
      <c r="M343" s="31">
        <f>1956</f>
        <v>1956</v>
      </c>
      <c r="N343" s="32" t="s">
        <v>1114</v>
      </c>
      <c r="O343" s="31">
        <f>1831</f>
        <v>1831</v>
      </c>
      <c r="P343" s="32" t="s">
        <v>1124</v>
      </c>
      <c r="Q343" s="31">
        <f>1945</f>
        <v>1945</v>
      </c>
      <c r="R343" s="32" t="s">
        <v>1114</v>
      </c>
      <c r="S343" s="33">
        <f>1892.5</f>
        <v>1892.5</v>
      </c>
      <c r="T343" s="30">
        <f>2707</f>
        <v>2707</v>
      </c>
      <c r="U343" s="30" t="str">
        <f>"－"</f>
        <v>－</v>
      </c>
      <c r="V343" s="30">
        <f>5116611</f>
        <v>5116611</v>
      </c>
      <c r="W343" s="30" t="str">
        <f>"－"</f>
        <v>－</v>
      </c>
      <c r="X343" s="34">
        <f>20</f>
        <v>20</v>
      </c>
    </row>
    <row r="344" spans="1:24">
      <c r="A344" s="25" t="s">
        <v>1172</v>
      </c>
      <c r="B344" s="25" t="s">
        <v>795</v>
      </c>
      <c r="C344" s="25" t="s">
        <v>796</v>
      </c>
      <c r="D344" s="25" t="s">
        <v>797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</v>
      </c>
      <c r="K344" s="31">
        <f>2114</f>
        <v>2114</v>
      </c>
      <c r="L344" s="32" t="s">
        <v>1145</v>
      </c>
      <c r="M344" s="31">
        <f>2160</f>
        <v>2160</v>
      </c>
      <c r="N344" s="32" t="s">
        <v>675</v>
      </c>
      <c r="O344" s="31">
        <f>2038</f>
        <v>2038</v>
      </c>
      <c r="P344" s="32" t="s">
        <v>1117</v>
      </c>
      <c r="Q344" s="31">
        <f>2130</f>
        <v>2130</v>
      </c>
      <c r="R344" s="32" t="s">
        <v>1114</v>
      </c>
      <c r="S344" s="33">
        <f>2097.06</f>
        <v>2097.06</v>
      </c>
      <c r="T344" s="30">
        <f>220</f>
        <v>220</v>
      </c>
      <c r="U344" s="30" t="str">
        <f>"－"</f>
        <v>－</v>
      </c>
      <c r="V344" s="30">
        <f>463378</f>
        <v>463378</v>
      </c>
      <c r="W344" s="30" t="str">
        <f>"－"</f>
        <v>－</v>
      </c>
      <c r="X344" s="34">
        <f>16</f>
        <v>16</v>
      </c>
    </row>
    <row r="345" spans="1:24">
      <c r="A345" s="25" t="s">
        <v>1172</v>
      </c>
      <c r="B345" s="25" t="s">
        <v>798</v>
      </c>
      <c r="C345" s="25" t="s">
        <v>799</v>
      </c>
      <c r="D345" s="25" t="s">
        <v>800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4145</f>
        <v>4145</v>
      </c>
      <c r="L345" s="32" t="s">
        <v>1145</v>
      </c>
      <c r="M345" s="31">
        <f>4235</f>
        <v>4235</v>
      </c>
      <c r="N345" s="32" t="s">
        <v>1114</v>
      </c>
      <c r="O345" s="31">
        <f>4085</f>
        <v>4085</v>
      </c>
      <c r="P345" s="32" t="s">
        <v>1117</v>
      </c>
      <c r="Q345" s="31">
        <f>4225</f>
        <v>4225</v>
      </c>
      <c r="R345" s="32" t="s">
        <v>1114</v>
      </c>
      <c r="S345" s="33">
        <f>4165.25</f>
        <v>4165.25</v>
      </c>
      <c r="T345" s="30">
        <f>3822</f>
        <v>3822</v>
      </c>
      <c r="U345" s="30" t="str">
        <f>"－"</f>
        <v>－</v>
      </c>
      <c r="V345" s="30">
        <f>15908430</f>
        <v>15908430</v>
      </c>
      <c r="W345" s="30" t="str">
        <f>"－"</f>
        <v>－</v>
      </c>
      <c r="X345" s="34">
        <f>20</f>
        <v>20</v>
      </c>
    </row>
    <row r="346" spans="1:24">
      <c r="A346" s="25" t="s">
        <v>1172</v>
      </c>
      <c r="B346" s="25" t="s">
        <v>801</v>
      </c>
      <c r="C346" s="25" t="s">
        <v>802</v>
      </c>
      <c r="D346" s="25" t="s">
        <v>803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10</v>
      </c>
      <c r="K346" s="31">
        <f>2813.5</f>
        <v>2813.5</v>
      </c>
      <c r="L346" s="32" t="s">
        <v>1145</v>
      </c>
      <c r="M346" s="31">
        <f>2855.5</f>
        <v>2855.5</v>
      </c>
      <c r="N346" s="32" t="s">
        <v>1114</v>
      </c>
      <c r="O346" s="31">
        <f>2770.5</f>
        <v>2770.5</v>
      </c>
      <c r="P346" s="32" t="s">
        <v>683</v>
      </c>
      <c r="Q346" s="31">
        <f>2855.5</f>
        <v>2855.5</v>
      </c>
      <c r="R346" s="32" t="s">
        <v>1114</v>
      </c>
      <c r="S346" s="33">
        <f>2813.28</f>
        <v>2813.28</v>
      </c>
      <c r="T346" s="30">
        <f>4680</f>
        <v>4680</v>
      </c>
      <c r="U346" s="30" t="str">
        <f>"－"</f>
        <v>－</v>
      </c>
      <c r="V346" s="30">
        <f>13142870</f>
        <v>13142870</v>
      </c>
      <c r="W346" s="30" t="str">
        <f>"－"</f>
        <v>－</v>
      </c>
      <c r="X346" s="34">
        <f>9</f>
        <v>9</v>
      </c>
    </row>
    <row r="347" spans="1:24">
      <c r="A347" s="25" t="s">
        <v>1172</v>
      </c>
      <c r="B347" s="25" t="s">
        <v>812</v>
      </c>
      <c r="C347" s="25" t="s">
        <v>813</v>
      </c>
      <c r="D347" s="25" t="s">
        <v>814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10</v>
      </c>
      <c r="K347" s="31">
        <f>262.2</f>
        <v>262.2</v>
      </c>
      <c r="L347" s="32" t="s">
        <v>1145</v>
      </c>
      <c r="M347" s="31">
        <f>285</f>
        <v>285</v>
      </c>
      <c r="N347" s="32" t="s">
        <v>1114</v>
      </c>
      <c r="O347" s="31">
        <f>262.2</f>
        <v>262.2</v>
      </c>
      <c r="P347" s="32" t="s">
        <v>1145</v>
      </c>
      <c r="Q347" s="31">
        <f>285</f>
        <v>285</v>
      </c>
      <c r="R347" s="32" t="s">
        <v>1114</v>
      </c>
      <c r="S347" s="33">
        <f>271.81</f>
        <v>271.81</v>
      </c>
      <c r="T347" s="30">
        <f>4970</f>
        <v>4970</v>
      </c>
      <c r="U347" s="30" t="str">
        <f>"－"</f>
        <v>－</v>
      </c>
      <c r="V347" s="30">
        <f>1357013</f>
        <v>1357013</v>
      </c>
      <c r="W347" s="30" t="str">
        <f>"－"</f>
        <v>－</v>
      </c>
      <c r="X347" s="34">
        <f>18</f>
        <v>18</v>
      </c>
    </row>
    <row r="348" spans="1:24">
      <c r="A348" s="25" t="s">
        <v>1172</v>
      </c>
      <c r="B348" s="25" t="s">
        <v>804</v>
      </c>
      <c r="C348" s="25" t="s">
        <v>805</v>
      </c>
      <c r="D348" s="25" t="s">
        <v>806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172</f>
        <v>172</v>
      </c>
      <c r="L348" s="32" t="s">
        <v>1145</v>
      </c>
      <c r="M348" s="31">
        <f>172.9</f>
        <v>172.9</v>
      </c>
      <c r="N348" s="32" t="s">
        <v>676</v>
      </c>
      <c r="O348" s="31">
        <f>168</f>
        <v>168</v>
      </c>
      <c r="P348" s="32" t="s">
        <v>680</v>
      </c>
      <c r="Q348" s="31">
        <f>171.2</f>
        <v>171.2</v>
      </c>
      <c r="R348" s="32" t="s">
        <v>1114</v>
      </c>
      <c r="S348" s="33">
        <f>170.71</f>
        <v>170.71</v>
      </c>
      <c r="T348" s="30">
        <f>1241170</f>
        <v>1241170</v>
      </c>
      <c r="U348" s="30">
        <f>1177020</f>
        <v>1177020</v>
      </c>
      <c r="V348" s="30">
        <f>211558884</f>
        <v>211558884</v>
      </c>
      <c r="W348" s="30">
        <f>200672498</f>
        <v>200672498</v>
      </c>
      <c r="X348" s="34">
        <f>20</f>
        <v>20</v>
      </c>
    </row>
    <row r="349" spans="1:24">
      <c r="A349" s="25" t="s">
        <v>1172</v>
      </c>
      <c r="B349" s="25" t="s">
        <v>807</v>
      </c>
      <c r="C349" s="25" t="s">
        <v>808</v>
      </c>
      <c r="D349" s="25" t="s">
        <v>809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10</v>
      </c>
      <c r="K349" s="31">
        <f>669.4</f>
        <v>669.4</v>
      </c>
      <c r="L349" s="32" t="s">
        <v>1115</v>
      </c>
      <c r="M349" s="31">
        <f>674.7</f>
        <v>674.7</v>
      </c>
      <c r="N349" s="32" t="s">
        <v>1112</v>
      </c>
      <c r="O349" s="31">
        <f>665</f>
        <v>665</v>
      </c>
      <c r="P349" s="32" t="s">
        <v>684</v>
      </c>
      <c r="Q349" s="31">
        <f>669.4</f>
        <v>669.4</v>
      </c>
      <c r="R349" s="32" t="s">
        <v>1111</v>
      </c>
      <c r="S349" s="33">
        <f>669.71</f>
        <v>669.71</v>
      </c>
      <c r="T349" s="30">
        <f>29980</f>
        <v>29980</v>
      </c>
      <c r="U349" s="30">
        <f>29760</f>
        <v>29760</v>
      </c>
      <c r="V349" s="30">
        <f>20194869</f>
        <v>20194869</v>
      </c>
      <c r="W349" s="30">
        <f>20047526</f>
        <v>20047526</v>
      </c>
      <c r="X349" s="34">
        <f>8</f>
        <v>8</v>
      </c>
    </row>
    <row r="350" spans="1:24">
      <c r="A350" s="25" t="s">
        <v>1172</v>
      </c>
      <c r="B350" s="25" t="s">
        <v>815</v>
      </c>
      <c r="C350" s="25" t="s">
        <v>816</v>
      </c>
      <c r="D350" s="25" t="s">
        <v>817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</v>
      </c>
      <c r="K350" s="31">
        <f>1496</f>
        <v>1496</v>
      </c>
      <c r="L350" s="32" t="s">
        <v>1145</v>
      </c>
      <c r="M350" s="31">
        <f>1569</f>
        <v>1569</v>
      </c>
      <c r="N350" s="32" t="s">
        <v>1114</v>
      </c>
      <c r="O350" s="31">
        <f>1484</f>
        <v>1484</v>
      </c>
      <c r="P350" s="32" t="s">
        <v>682</v>
      </c>
      <c r="Q350" s="31">
        <f>1563</f>
        <v>1563</v>
      </c>
      <c r="R350" s="32" t="s">
        <v>1114</v>
      </c>
      <c r="S350" s="33">
        <f>1521.25</f>
        <v>1521.25</v>
      </c>
      <c r="T350" s="30">
        <f>248902</f>
        <v>248902</v>
      </c>
      <c r="U350" s="30">
        <f>900</f>
        <v>900</v>
      </c>
      <c r="V350" s="30">
        <f>377904895</f>
        <v>377904895</v>
      </c>
      <c r="W350" s="30">
        <f>1356029</f>
        <v>1356029</v>
      </c>
      <c r="X350" s="34">
        <f>20</f>
        <v>20</v>
      </c>
    </row>
    <row r="351" spans="1:24">
      <c r="A351" s="25" t="s">
        <v>1172</v>
      </c>
      <c r="B351" s="25" t="s">
        <v>818</v>
      </c>
      <c r="C351" s="25" t="s">
        <v>819</v>
      </c>
      <c r="D351" s="25" t="s">
        <v>820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</v>
      </c>
      <c r="K351" s="31">
        <f>897</f>
        <v>897</v>
      </c>
      <c r="L351" s="32" t="s">
        <v>1145</v>
      </c>
      <c r="M351" s="31">
        <f>900</f>
        <v>900</v>
      </c>
      <c r="N351" s="32" t="s">
        <v>675</v>
      </c>
      <c r="O351" s="31">
        <f>871</f>
        <v>871</v>
      </c>
      <c r="P351" s="32" t="s">
        <v>1123</v>
      </c>
      <c r="Q351" s="31">
        <f>878</f>
        <v>878</v>
      </c>
      <c r="R351" s="32" t="s">
        <v>1114</v>
      </c>
      <c r="S351" s="33">
        <f>881.35</f>
        <v>881.35</v>
      </c>
      <c r="T351" s="30">
        <f>339514</f>
        <v>339514</v>
      </c>
      <c r="U351" s="30">
        <f>332002</f>
        <v>332002</v>
      </c>
      <c r="V351" s="30">
        <f>300260307</f>
        <v>300260307</v>
      </c>
      <c r="W351" s="30">
        <f>293642249</f>
        <v>293642249</v>
      </c>
      <c r="X351" s="34">
        <f>20</f>
        <v>20</v>
      </c>
    </row>
    <row r="352" spans="1:24">
      <c r="A352" s="25" t="s">
        <v>1172</v>
      </c>
      <c r="B352" s="25" t="s">
        <v>821</v>
      </c>
      <c r="C352" s="25" t="s">
        <v>822</v>
      </c>
      <c r="D352" s="25" t="s">
        <v>823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694.2</f>
        <v>694.2</v>
      </c>
      <c r="L352" s="32" t="s">
        <v>1145</v>
      </c>
      <c r="M352" s="31">
        <f>703.6</f>
        <v>703.6</v>
      </c>
      <c r="N352" s="32" t="s">
        <v>1112</v>
      </c>
      <c r="O352" s="31">
        <f>694.2</f>
        <v>694.2</v>
      </c>
      <c r="P352" s="32" t="s">
        <v>1145</v>
      </c>
      <c r="Q352" s="31">
        <f>700.8</f>
        <v>700.8</v>
      </c>
      <c r="R352" s="32" t="s">
        <v>1114</v>
      </c>
      <c r="S352" s="33">
        <f>700.54</f>
        <v>700.54</v>
      </c>
      <c r="T352" s="30">
        <f>795000</f>
        <v>795000</v>
      </c>
      <c r="U352" s="30">
        <f>400040</f>
        <v>400040</v>
      </c>
      <c r="V352" s="30">
        <f>554432976</f>
        <v>554432976</v>
      </c>
      <c r="W352" s="30">
        <f>278588068</f>
        <v>278588068</v>
      </c>
      <c r="X352" s="34">
        <f>20</f>
        <v>20</v>
      </c>
    </row>
    <row r="353" spans="1:24">
      <c r="A353" s="25" t="s">
        <v>1172</v>
      </c>
      <c r="B353" s="25" t="s">
        <v>824</v>
      </c>
      <c r="C353" s="25" t="s">
        <v>825</v>
      </c>
      <c r="D353" s="25" t="s">
        <v>826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680</f>
        <v>680</v>
      </c>
      <c r="L353" s="32" t="s">
        <v>1145</v>
      </c>
      <c r="M353" s="31">
        <f>688.6</f>
        <v>688.6</v>
      </c>
      <c r="N353" s="32" t="s">
        <v>1114</v>
      </c>
      <c r="O353" s="31">
        <f>674.1</f>
        <v>674.1</v>
      </c>
      <c r="P353" s="32" t="s">
        <v>677</v>
      </c>
      <c r="Q353" s="31">
        <f>683.2</f>
        <v>683.2</v>
      </c>
      <c r="R353" s="32" t="s">
        <v>1114</v>
      </c>
      <c r="S353" s="33">
        <f>682.18</f>
        <v>682.18</v>
      </c>
      <c r="T353" s="30">
        <f>5771220</f>
        <v>5771220</v>
      </c>
      <c r="U353" s="30">
        <f>5748490</f>
        <v>5748490</v>
      </c>
      <c r="V353" s="30">
        <f>3939505139</f>
        <v>3939505139</v>
      </c>
      <c r="W353" s="30">
        <f>3923962240</f>
        <v>3923962240</v>
      </c>
      <c r="X353" s="34">
        <f>19</f>
        <v>19</v>
      </c>
    </row>
    <row r="354" spans="1:24">
      <c r="A354" s="25" t="s">
        <v>1172</v>
      </c>
      <c r="B354" s="25" t="s">
        <v>827</v>
      </c>
      <c r="C354" s="25" t="s">
        <v>828</v>
      </c>
      <c r="D354" s="25" t="s">
        <v>829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</v>
      </c>
      <c r="K354" s="31">
        <f>1233</f>
        <v>1233</v>
      </c>
      <c r="L354" s="32" t="s">
        <v>1145</v>
      </c>
      <c r="M354" s="31">
        <f>1281</f>
        <v>1281</v>
      </c>
      <c r="N354" s="32" t="s">
        <v>1114</v>
      </c>
      <c r="O354" s="31">
        <f>1233</f>
        <v>1233</v>
      </c>
      <c r="P354" s="32" t="s">
        <v>1145</v>
      </c>
      <c r="Q354" s="31">
        <f>1280</f>
        <v>1280</v>
      </c>
      <c r="R354" s="32" t="s">
        <v>1114</v>
      </c>
      <c r="S354" s="33">
        <f>1259.05</f>
        <v>1259.05</v>
      </c>
      <c r="T354" s="30">
        <f>18427</f>
        <v>18427</v>
      </c>
      <c r="U354" s="30" t="str">
        <f>"－"</f>
        <v>－</v>
      </c>
      <c r="V354" s="30">
        <f>23166947</f>
        <v>23166947</v>
      </c>
      <c r="W354" s="30" t="str">
        <f>"－"</f>
        <v>－</v>
      </c>
      <c r="X354" s="34">
        <f>20</f>
        <v>20</v>
      </c>
    </row>
    <row r="355" spans="1:24">
      <c r="A355" s="25" t="s">
        <v>1172</v>
      </c>
      <c r="B355" s="25" t="s">
        <v>836</v>
      </c>
      <c r="C355" s="25" t="s">
        <v>837</v>
      </c>
      <c r="D355" s="25" t="s">
        <v>838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10</v>
      </c>
      <c r="K355" s="31">
        <f>2707</f>
        <v>2707</v>
      </c>
      <c r="L355" s="32" t="s">
        <v>1145</v>
      </c>
      <c r="M355" s="31">
        <f>2707</f>
        <v>2707</v>
      </c>
      <c r="N355" s="32" t="s">
        <v>1145</v>
      </c>
      <c r="O355" s="31">
        <f>2552</f>
        <v>2552</v>
      </c>
      <c r="P355" s="32" t="s">
        <v>682</v>
      </c>
      <c r="Q355" s="31">
        <f>2591.5</f>
        <v>2591.5</v>
      </c>
      <c r="R355" s="32" t="s">
        <v>1114</v>
      </c>
      <c r="S355" s="33">
        <f>2628.58</f>
        <v>2628.58</v>
      </c>
      <c r="T355" s="30">
        <f>152320</f>
        <v>152320</v>
      </c>
      <c r="U355" s="30">
        <f>200</f>
        <v>200</v>
      </c>
      <c r="V355" s="30">
        <f>400920455</f>
        <v>400920455</v>
      </c>
      <c r="W355" s="30">
        <f>516800</f>
        <v>516800</v>
      </c>
      <c r="X355" s="34">
        <f>20</f>
        <v>20</v>
      </c>
    </row>
    <row r="356" spans="1:24">
      <c r="A356" s="25" t="s">
        <v>1172</v>
      </c>
      <c r="B356" s="25" t="s">
        <v>839</v>
      </c>
      <c r="C356" s="25" t="s">
        <v>840</v>
      </c>
      <c r="D356" s="25" t="s">
        <v>841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10</v>
      </c>
      <c r="K356" s="31">
        <f>2617.5</f>
        <v>2617.5</v>
      </c>
      <c r="L356" s="32" t="s">
        <v>1145</v>
      </c>
      <c r="M356" s="31">
        <f>2668</f>
        <v>2668</v>
      </c>
      <c r="N356" s="32" t="s">
        <v>1145</v>
      </c>
      <c r="O356" s="31">
        <f>2499.5</f>
        <v>2499.5</v>
      </c>
      <c r="P356" s="32" t="s">
        <v>682</v>
      </c>
      <c r="Q356" s="31">
        <f>2525</f>
        <v>2525</v>
      </c>
      <c r="R356" s="32" t="s">
        <v>1114</v>
      </c>
      <c r="S356" s="33">
        <f>2549.9</f>
        <v>2549.9</v>
      </c>
      <c r="T356" s="30">
        <f>40860</f>
        <v>40860</v>
      </c>
      <c r="U356" s="30">
        <f>10</f>
        <v>10</v>
      </c>
      <c r="V356" s="30">
        <f>103376775</f>
        <v>103376775</v>
      </c>
      <c r="W356" s="30">
        <f>25150</f>
        <v>25150</v>
      </c>
      <c r="X356" s="34">
        <f>20</f>
        <v>20</v>
      </c>
    </row>
    <row r="357" spans="1:24">
      <c r="A357" s="25" t="s">
        <v>1172</v>
      </c>
      <c r="B357" s="25" t="s">
        <v>830</v>
      </c>
      <c r="C357" s="25" t="s">
        <v>831</v>
      </c>
      <c r="D357" s="25" t="s">
        <v>832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10</v>
      </c>
      <c r="K357" s="31">
        <f>5504</f>
        <v>5504</v>
      </c>
      <c r="L357" s="32" t="s">
        <v>674</v>
      </c>
      <c r="M357" s="31">
        <f>5548</f>
        <v>5548</v>
      </c>
      <c r="N357" s="32" t="s">
        <v>679</v>
      </c>
      <c r="O357" s="31">
        <f>5412</f>
        <v>5412</v>
      </c>
      <c r="P357" s="32" t="s">
        <v>1117</v>
      </c>
      <c r="Q357" s="31">
        <f>5539</f>
        <v>5539</v>
      </c>
      <c r="R357" s="32" t="s">
        <v>1114</v>
      </c>
      <c r="S357" s="33">
        <f>5483.57</f>
        <v>5483.57</v>
      </c>
      <c r="T357" s="30">
        <f>90830</f>
        <v>90830</v>
      </c>
      <c r="U357" s="30">
        <f>36010</f>
        <v>36010</v>
      </c>
      <c r="V357" s="30">
        <f>495316180</f>
        <v>495316180</v>
      </c>
      <c r="W357" s="30">
        <f>196198690</f>
        <v>196198690</v>
      </c>
      <c r="X357" s="34">
        <f>14</f>
        <v>14</v>
      </c>
    </row>
    <row r="358" spans="1:24">
      <c r="A358" s="25" t="s">
        <v>1172</v>
      </c>
      <c r="B358" s="25" t="s">
        <v>833</v>
      </c>
      <c r="C358" s="25" t="s">
        <v>834</v>
      </c>
      <c r="D358" s="25" t="s">
        <v>835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10</v>
      </c>
      <c r="K358" s="31">
        <f>4221</f>
        <v>4221</v>
      </c>
      <c r="L358" s="32" t="s">
        <v>675</v>
      </c>
      <c r="M358" s="31">
        <f>4600</f>
        <v>4600</v>
      </c>
      <c r="N358" s="32" t="s">
        <v>759</v>
      </c>
      <c r="O358" s="31">
        <f>4174</f>
        <v>4174</v>
      </c>
      <c r="P358" s="32" t="s">
        <v>1114</v>
      </c>
      <c r="Q358" s="31">
        <f>4179</f>
        <v>4179</v>
      </c>
      <c r="R358" s="32" t="s">
        <v>1114</v>
      </c>
      <c r="S358" s="33">
        <f>4224.28</f>
        <v>4224.28</v>
      </c>
      <c r="T358" s="30">
        <f>103700</f>
        <v>103700</v>
      </c>
      <c r="U358" s="30">
        <f>10</f>
        <v>10</v>
      </c>
      <c r="V358" s="30">
        <f>435701890</f>
        <v>435701890</v>
      </c>
      <c r="W358" s="30">
        <f>42530</f>
        <v>42530</v>
      </c>
      <c r="X358" s="34">
        <f>18</f>
        <v>18</v>
      </c>
    </row>
    <row r="359" spans="1:24">
      <c r="A359" s="25" t="s">
        <v>1172</v>
      </c>
      <c r="B359" s="25" t="s">
        <v>842</v>
      </c>
      <c r="C359" s="25" t="s">
        <v>843</v>
      </c>
      <c r="D359" s="25" t="s">
        <v>844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10</v>
      </c>
      <c r="K359" s="31">
        <f>1909</f>
        <v>1909</v>
      </c>
      <c r="L359" s="32" t="s">
        <v>674</v>
      </c>
      <c r="M359" s="31">
        <f>1919</f>
        <v>1919</v>
      </c>
      <c r="N359" s="32" t="s">
        <v>682</v>
      </c>
      <c r="O359" s="31">
        <f>1891</f>
        <v>1891</v>
      </c>
      <c r="P359" s="32" t="s">
        <v>684</v>
      </c>
      <c r="Q359" s="31">
        <f>1909</f>
        <v>1909</v>
      </c>
      <c r="R359" s="32" t="s">
        <v>1114</v>
      </c>
      <c r="S359" s="33">
        <f>1907.56</f>
        <v>1907.56</v>
      </c>
      <c r="T359" s="30">
        <f>590</f>
        <v>590</v>
      </c>
      <c r="U359" s="30" t="str">
        <f>"－"</f>
        <v>－</v>
      </c>
      <c r="V359" s="30">
        <f>1128530</f>
        <v>1128530</v>
      </c>
      <c r="W359" s="30" t="str">
        <f>"－"</f>
        <v>－</v>
      </c>
      <c r="X359" s="34">
        <f>9</f>
        <v>9</v>
      </c>
    </row>
    <row r="360" spans="1:24">
      <c r="A360" s="25" t="s">
        <v>1172</v>
      </c>
      <c r="B360" s="25" t="s">
        <v>845</v>
      </c>
      <c r="C360" s="25" t="s">
        <v>846</v>
      </c>
      <c r="D360" s="25" t="s">
        <v>847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</v>
      </c>
      <c r="K360" s="31">
        <f>1358</f>
        <v>1358</v>
      </c>
      <c r="L360" s="32" t="s">
        <v>1145</v>
      </c>
      <c r="M360" s="31">
        <f>1400</f>
        <v>1400</v>
      </c>
      <c r="N360" s="32" t="s">
        <v>680</v>
      </c>
      <c r="O360" s="31">
        <f>1347</f>
        <v>1347</v>
      </c>
      <c r="P360" s="32" t="s">
        <v>677</v>
      </c>
      <c r="Q360" s="31">
        <f>1382</f>
        <v>1382</v>
      </c>
      <c r="R360" s="32" t="s">
        <v>1114</v>
      </c>
      <c r="S360" s="33">
        <f>1374.3</f>
        <v>1374.3</v>
      </c>
      <c r="T360" s="30">
        <f>4556</f>
        <v>4556</v>
      </c>
      <c r="U360" s="30" t="str">
        <f>"－"</f>
        <v>－</v>
      </c>
      <c r="V360" s="30">
        <f>6236646</f>
        <v>6236646</v>
      </c>
      <c r="W360" s="30" t="str">
        <f>"－"</f>
        <v>－</v>
      </c>
      <c r="X360" s="34">
        <f>20</f>
        <v>20</v>
      </c>
    </row>
    <row r="361" spans="1:24">
      <c r="A361" s="25" t="s">
        <v>1172</v>
      </c>
      <c r="B361" s="25" t="s">
        <v>848</v>
      </c>
      <c r="C361" s="25" t="s">
        <v>849</v>
      </c>
      <c r="D361" s="25" t="s">
        <v>850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</v>
      </c>
      <c r="K361" s="31">
        <f>1213</f>
        <v>1213</v>
      </c>
      <c r="L361" s="32" t="s">
        <v>1145</v>
      </c>
      <c r="M361" s="31">
        <f>1256</f>
        <v>1256</v>
      </c>
      <c r="N361" s="32" t="s">
        <v>1114</v>
      </c>
      <c r="O361" s="31">
        <f>1200</f>
        <v>1200</v>
      </c>
      <c r="P361" s="32" t="s">
        <v>1115</v>
      </c>
      <c r="Q361" s="31">
        <f>1252</f>
        <v>1252</v>
      </c>
      <c r="R361" s="32" t="s">
        <v>1114</v>
      </c>
      <c r="S361" s="33">
        <f>1221.25</f>
        <v>1221.25</v>
      </c>
      <c r="T361" s="30">
        <f>1530733</f>
        <v>1530733</v>
      </c>
      <c r="U361" s="30">
        <f>20</f>
        <v>20</v>
      </c>
      <c r="V361" s="30">
        <f>1866826141</f>
        <v>1866826141</v>
      </c>
      <c r="W361" s="30">
        <f>24229</f>
        <v>24229</v>
      </c>
      <c r="X361" s="34">
        <f>20</f>
        <v>20</v>
      </c>
    </row>
    <row r="362" spans="1:24">
      <c r="A362" s="25" t="s">
        <v>1172</v>
      </c>
      <c r="B362" s="25" t="s">
        <v>851</v>
      </c>
      <c r="C362" s="25" t="s">
        <v>852</v>
      </c>
      <c r="D362" s="25" t="s">
        <v>853</v>
      </c>
      <c r="E362" s="26" t="s">
        <v>43</v>
      </c>
      <c r="F362" s="27" t="s">
        <v>43</v>
      </c>
      <c r="G362" s="28" t="s">
        <v>43</v>
      </c>
      <c r="H362" s="29"/>
      <c r="I362" s="29" t="s">
        <v>44</v>
      </c>
      <c r="J362" s="30">
        <v>1</v>
      </c>
      <c r="K362" s="31">
        <f>1041</f>
        <v>1041</v>
      </c>
      <c r="L362" s="32" t="s">
        <v>1145</v>
      </c>
      <c r="M362" s="31">
        <f>1072</f>
        <v>1072</v>
      </c>
      <c r="N362" s="32" t="s">
        <v>1114</v>
      </c>
      <c r="O362" s="31">
        <f>1029</f>
        <v>1029</v>
      </c>
      <c r="P362" s="32" t="s">
        <v>1115</v>
      </c>
      <c r="Q362" s="31">
        <f>1065</f>
        <v>1065</v>
      </c>
      <c r="R362" s="32" t="s">
        <v>1114</v>
      </c>
      <c r="S362" s="33">
        <f>1045.5</f>
        <v>1045.5</v>
      </c>
      <c r="T362" s="30">
        <f>426412</f>
        <v>426412</v>
      </c>
      <c r="U362" s="30">
        <f>57</f>
        <v>57</v>
      </c>
      <c r="V362" s="30">
        <f>444804429</f>
        <v>444804429</v>
      </c>
      <c r="W362" s="30">
        <f>62253</f>
        <v>62253</v>
      </c>
      <c r="X362" s="34">
        <f>20</f>
        <v>20</v>
      </c>
    </row>
    <row r="363" spans="1:24">
      <c r="A363" s="25" t="s">
        <v>1172</v>
      </c>
      <c r="B363" s="25" t="s">
        <v>858</v>
      </c>
      <c r="C363" s="25" t="s">
        <v>859</v>
      </c>
      <c r="D363" s="25" t="s">
        <v>860</v>
      </c>
      <c r="E363" s="26" t="s">
        <v>43</v>
      </c>
      <c r="F363" s="27" t="s">
        <v>43</v>
      </c>
      <c r="G363" s="28" t="s">
        <v>43</v>
      </c>
      <c r="H363" s="29"/>
      <c r="I363" s="29" t="s">
        <v>44</v>
      </c>
      <c r="J363" s="30">
        <v>1</v>
      </c>
      <c r="K363" s="31">
        <f>1226</f>
        <v>1226</v>
      </c>
      <c r="L363" s="32" t="s">
        <v>1145</v>
      </c>
      <c r="M363" s="31">
        <f>1236</f>
        <v>1236</v>
      </c>
      <c r="N363" s="32" t="s">
        <v>1145</v>
      </c>
      <c r="O363" s="31">
        <f>1181</f>
        <v>1181</v>
      </c>
      <c r="P363" s="32" t="s">
        <v>676</v>
      </c>
      <c r="Q363" s="31">
        <f>1206</f>
        <v>1206</v>
      </c>
      <c r="R363" s="32" t="s">
        <v>1114</v>
      </c>
      <c r="S363" s="33">
        <f>1210.3</f>
        <v>1210.3</v>
      </c>
      <c r="T363" s="30">
        <f>6509</f>
        <v>6509</v>
      </c>
      <c r="U363" s="30" t="str">
        <f>"－"</f>
        <v>－</v>
      </c>
      <c r="V363" s="30">
        <f>7854865</f>
        <v>7854865</v>
      </c>
      <c r="W363" s="30" t="str">
        <f>"－"</f>
        <v>－</v>
      </c>
      <c r="X363" s="34">
        <f>20</f>
        <v>20</v>
      </c>
    </row>
    <row r="364" spans="1:24">
      <c r="A364" s="25" t="s">
        <v>1172</v>
      </c>
      <c r="B364" s="25" t="s">
        <v>861</v>
      </c>
      <c r="C364" s="25" t="s">
        <v>862</v>
      </c>
      <c r="D364" s="25" t="s">
        <v>863</v>
      </c>
      <c r="E364" s="26" t="s">
        <v>43</v>
      </c>
      <c r="F364" s="27" t="s">
        <v>43</v>
      </c>
      <c r="G364" s="28" t="s">
        <v>43</v>
      </c>
      <c r="H364" s="29"/>
      <c r="I364" s="29" t="s">
        <v>44</v>
      </c>
      <c r="J364" s="30">
        <v>1</v>
      </c>
      <c r="K364" s="31">
        <f>1087</f>
        <v>1087</v>
      </c>
      <c r="L364" s="32" t="s">
        <v>1145</v>
      </c>
      <c r="M364" s="31">
        <f>1127</f>
        <v>1127</v>
      </c>
      <c r="N364" s="32" t="s">
        <v>1114</v>
      </c>
      <c r="O364" s="31">
        <f>1078</f>
        <v>1078</v>
      </c>
      <c r="P364" s="32" t="s">
        <v>1115</v>
      </c>
      <c r="Q364" s="31">
        <f>1126</f>
        <v>1126</v>
      </c>
      <c r="R364" s="32" t="s">
        <v>1114</v>
      </c>
      <c r="S364" s="33">
        <f>1099.4</f>
        <v>1099.4000000000001</v>
      </c>
      <c r="T364" s="30">
        <f>309928</f>
        <v>309928</v>
      </c>
      <c r="U364" s="30" t="str">
        <f>"－"</f>
        <v>－</v>
      </c>
      <c r="V364" s="30">
        <f>340936035</f>
        <v>340936035</v>
      </c>
      <c r="W364" s="30" t="str">
        <f>"－"</f>
        <v>－</v>
      </c>
      <c r="X364" s="34">
        <f>20</f>
        <v>20</v>
      </c>
    </row>
    <row r="365" spans="1:24">
      <c r="A365" s="25" t="s">
        <v>1172</v>
      </c>
      <c r="B365" s="25" t="s">
        <v>864</v>
      </c>
      <c r="C365" s="25" t="s">
        <v>865</v>
      </c>
      <c r="D365" s="25" t="s">
        <v>950</v>
      </c>
      <c r="E365" s="26" t="s">
        <v>43</v>
      </c>
      <c r="F365" s="27" t="s">
        <v>43</v>
      </c>
      <c r="G365" s="28" t="s">
        <v>43</v>
      </c>
      <c r="H365" s="29"/>
      <c r="I365" s="29" t="s">
        <v>44</v>
      </c>
      <c r="J365" s="30">
        <v>1</v>
      </c>
      <c r="K365" s="31">
        <f>39600</f>
        <v>39600</v>
      </c>
      <c r="L365" s="32" t="s">
        <v>1145</v>
      </c>
      <c r="M365" s="31">
        <f>46020</f>
        <v>46020</v>
      </c>
      <c r="N365" s="32" t="s">
        <v>1118</v>
      </c>
      <c r="O365" s="31">
        <f>39600</f>
        <v>39600</v>
      </c>
      <c r="P365" s="32" t="s">
        <v>1145</v>
      </c>
      <c r="Q365" s="31">
        <f>44990</f>
        <v>44990</v>
      </c>
      <c r="R365" s="32" t="s">
        <v>1114</v>
      </c>
      <c r="S365" s="33">
        <f>43294</f>
        <v>43294</v>
      </c>
      <c r="T365" s="30">
        <f>267958</f>
        <v>267958</v>
      </c>
      <c r="U365" s="30">
        <f>21</f>
        <v>21</v>
      </c>
      <c r="V365" s="30">
        <f>11621789060</f>
        <v>11621789060</v>
      </c>
      <c r="W365" s="30">
        <f>880580</f>
        <v>880580</v>
      </c>
      <c r="X365" s="34">
        <f>20</f>
        <v>20</v>
      </c>
    </row>
    <row r="366" spans="1:24">
      <c r="A366" s="25" t="s">
        <v>1172</v>
      </c>
      <c r="B366" s="25" t="s">
        <v>866</v>
      </c>
      <c r="C366" s="25" t="s">
        <v>867</v>
      </c>
      <c r="D366" s="25" t="s">
        <v>951</v>
      </c>
      <c r="E366" s="26" t="s">
        <v>43</v>
      </c>
      <c r="F366" s="27" t="s">
        <v>43</v>
      </c>
      <c r="G366" s="28" t="s">
        <v>43</v>
      </c>
      <c r="H366" s="29"/>
      <c r="I366" s="29" t="s">
        <v>44</v>
      </c>
      <c r="J366" s="30">
        <v>1</v>
      </c>
      <c r="K366" s="31">
        <f>23095</f>
        <v>23095</v>
      </c>
      <c r="L366" s="32" t="s">
        <v>1145</v>
      </c>
      <c r="M366" s="31">
        <f>23095</f>
        <v>23095</v>
      </c>
      <c r="N366" s="32" t="s">
        <v>1145</v>
      </c>
      <c r="O366" s="31">
        <f>19750</f>
        <v>19750</v>
      </c>
      <c r="P366" s="32" t="s">
        <v>676</v>
      </c>
      <c r="Q366" s="31">
        <f>20175</f>
        <v>20175</v>
      </c>
      <c r="R366" s="32" t="s">
        <v>1114</v>
      </c>
      <c r="S366" s="33">
        <f>21101.25</f>
        <v>21101.25</v>
      </c>
      <c r="T366" s="30">
        <f>239412</f>
        <v>239412</v>
      </c>
      <c r="U366" s="30">
        <f>54</f>
        <v>54</v>
      </c>
      <c r="V366" s="30">
        <f>5012812895</f>
        <v>5012812895</v>
      </c>
      <c r="W366" s="30">
        <f>1145765</f>
        <v>1145765</v>
      </c>
      <c r="X366" s="34">
        <f>20</f>
        <v>20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DE0A-D19F-486F-AA48-E580811E5B2F}">
  <sheetPr>
    <pageSetUpPr fitToPage="1"/>
  </sheetPr>
  <dimension ref="A1:X361"/>
  <sheetViews>
    <sheetView showGridLines="0" view="pageBreakPreview" zoomScaleNormal="70" zoomScaleSheetLayoutView="100" workbookViewId="0">
      <pane ySplit="6" topLeftCell="A353" activePane="bottomLeft" state="frozen"/>
      <selection pane="bottomLeft" activeCell="B7" sqref="B7:B361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1167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2907.5</f>
        <v>2907.5</v>
      </c>
      <c r="L7" s="32" t="s">
        <v>1110</v>
      </c>
      <c r="M7" s="31">
        <f>2976</f>
        <v>2976</v>
      </c>
      <c r="N7" s="32" t="s">
        <v>1112</v>
      </c>
      <c r="O7" s="31">
        <f>2879.5</f>
        <v>2879.5</v>
      </c>
      <c r="P7" s="32" t="s">
        <v>777</v>
      </c>
      <c r="Q7" s="31">
        <f>2962.5</f>
        <v>2962.5</v>
      </c>
      <c r="R7" s="32" t="s">
        <v>681</v>
      </c>
      <c r="S7" s="33">
        <f>2930.33</f>
        <v>2930.33</v>
      </c>
      <c r="T7" s="30">
        <f>8141290</f>
        <v>8141290</v>
      </c>
      <c r="U7" s="30">
        <f>4326940</f>
        <v>4326940</v>
      </c>
      <c r="V7" s="30">
        <f>23821013514</f>
        <v>23821013514</v>
      </c>
      <c r="W7" s="30">
        <f>12653601209</f>
        <v>12653601209</v>
      </c>
      <c r="X7" s="34">
        <f>21</f>
        <v>21</v>
      </c>
    </row>
    <row r="8" spans="1:24">
      <c r="A8" s="25" t="s">
        <v>1167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2876.5</f>
        <v>2876.5</v>
      </c>
      <c r="L8" s="32" t="s">
        <v>1110</v>
      </c>
      <c r="M8" s="31">
        <f>2950</f>
        <v>2950</v>
      </c>
      <c r="N8" s="32" t="s">
        <v>681</v>
      </c>
      <c r="O8" s="31">
        <f>2848</f>
        <v>2848</v>
      </c>
      <c r="P8" s="32" t="s">
        <v>777</v>
      </c>
      <c r="Q8" s="31">
        <f>2950</f>
        <v>2950</v>
      </c>
      <c r="R8" s="32" t="s">
        <v>681</v>
      </c>
      <c r="S8" s="33">
        <f>2897.4</f>
        <v>2897.4</v>
      </c>
      <c r="T8" s="30">
        <f>46665770</f>
        <v>46665770</v>
      </c>
      <c r="U8" s="30">
        <f>10426570</f>
        <v>10426570</v>
      </c>
      <c r="V8" s="30">
        <f>135115845102</f>
        <v>135115845102</v>
      </c>
      <c r="W8" s="30">
        <f>30195117202</f>
        <v>30195117202</v>
      </c>
      <c r="X8" s="34">
        <f>21</f>
        <v>21</v>
      </c>
    </row>
    <row r="9" spans="1:24">
      <c r="A9" s="25" t="s">
        <v>1167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2842</f>
        <v>2842</v>
      </c>
      <c r="L9" s="32" t="s">
        <v>1110</v>
      </c>
      <c r="M9" s="31">
        <f>2912</f>
        <v>2912</v>
      </c>
      <c r="N9" s="32" t="s">
        <v>1112</v>
      </c>
      <c r="O9" s="31">
        <f>2816</f>
        <v>2816</v>
      </c>
      <c r="P9" s="32" t="s">
        <v>777</v>
      </c>
      <c r="Q9" s="31">
        <f>2897</f>
        <v>2897</v>
      </c>
      <c r="R9" s="32" t="s">
        <v>681</v>
      </c>
      <c r="S9" s="33">
        <f>2863.57</f>
        <v>2863.57</v>
      </c>
      <c r="T9" s="30">
        <f>48372746</f>
        <v>48372746</v>
      </c>
      <c r="U9" s="30">
        <f>15803977</f>
        <v>15803977</v>
      </c>
      <c r="V9" s="30">
        <f>139051520600</f>
        <v>139051520600</v>
      </c>
      <c r="W9" s="30">
        <f>45376013815</f>
        <v>45376013815</v>
      </c>
      <c r="X9" s="34">
        <f>21</f>
        <v>21</v>
      </c>
    </row>
    <row r="10" spans="1:24">
      <c r="A10" s="25" t="s">
        <v>1167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41000</f>
        <v>41000</v>
      </c>
      <c r="L10" s="32" t="s">
        <v>1110</v>
      </c>
      <c r="M10" s="31">
        <f>42550</f>
        <v>42550</v>
      </c>
      <c r="N10" s="32" t="s">
        <v>1118</v>
      </c>
      <c r="O10" s="31">
        <f>40800</f>
        <v>40800</v>
      </c>
      <c r="P10" s="32" t="s">
        <v>682</v>
      </c>
      <c r="Q10" s="31">
        <f>41260</f>
        <v>41260</v>
      </c>
      <c r="R10" s="32" t="s">
        <v>681</v>
      </c>
      <c r="S10" s="33">
        <f>41928.57</f>
        <v>41928.57</v>
      </c>
      <c r="T10" s="30">
        <f>3220</f>
        <v>3220</v>
      </c>
      <c r="U10" s="30" t="str">
        <f>"－"</f>
        <v>－</v>
      </c>
      <c r="V10" s="30">
        <f>135091760</f>
        <v>135091760</v>
      </c>
      <c r="W10" s="30" t="str">
        <f>"－"</f>
        <v>－</v>
      </c>
      <c r="X10" s="34">
        <f>21</f>
        <v>21</v>
      </c>
    </row>
    <row r="11" spans="1:24">
      <c r="A11" s="25" t="s">
        <v>1167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1454</f>
        <v>1454</v>
      </c>
      <c r="L11" s="32" t="s">
        <v>1110</v>
      </c>
      <c r="M11" s="31">
        <f>1490</f>
        <v>1490</v>
      </c>
      <c r="N11" s="32" t="s">
        <v>883</v>
      </c>
      <c r="O11" s="31">
        <f>1424.5</f>
        <v>1424.5</v>
      </c>
      <c r="P11" s="32" t="s">
        <v>759</v>
      </c>
      <c r="Q11" s="31">
        <f>1482.5</f>
        <v>1482.5</v>
      </c>
      <c r="R11" s="32" t="s">
        <v>681</v>
      </c>
      <c r="S11" s="33">
        <f>1457.48</f>
        <v>1457.48</v>
      </c>
      <c r="T11" s="30">
        <f>417230</f>
        <v>417230</v>
      </c>
      <c r="U11" s="30">
        <f>2700</f>
        <v>2700</v>
      </c>
      <c r="V11" s="30">
        <f>609650135</f>
        <v>609650135</v>
      </c>
      <c r="W11" s="30">
        <f>3942965</f>
        <v>3942965</v>
      </c>
      <c r="X11" s="34">
        <f>21</f>
        <v>21</v>
      </c>
    </row>
    <row r="12" spans="1:24">
      <c r="A12" s="25" t="s">
        <v>1167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504</f>
        <v>504</v>
      </c>
      <c r="L12" s="32" t="s">
        <v>1110</v>
      </c>
      <c r="M12" s="31">
        <f>505</f>
        <v>505</v>
      </c>
      <c r="N12" s="32" t="s">
        <v>1115</v>
      </c>
      <c r="O12" s="31">
        <f>479</f>
        <v>479</v>
      </c>
      <c r="P12" s="32" t="s">
        <v>777</v>
      </c>
      <c r="Q12" s="31">
        <f>481.3</f>
        <v>481.3</v>
      </c>
      <c r="R12" s="32" t="s">
        <v>681</v>
      </c>
      <c r="S12" s="33">
        <f>489.18</f>
        <v>489.18</v>
      </c>
      <c r="T12" s="30">
        <f>58000</f>
        <v>58000</v>
      </c>
      <c r="U12" s="30">
        <f>1000</f>
        <v>1000</v>
      </c>
      <c r="V12" s="30">
        <f>28298200</f>
        <v>28298200</v>
      </c>
      <c r="W12" s="30">
        <f>480000</f>
        <v>480000</v>
      </c>
      <c r="X12" s="34">
        <f>17</f>
        <v>17</v>
      </c>
    </row>
    <row r="13" spans="1:24">
      <c r="A13" s="25" t="s">
        <v>1167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39630</f>
        <v>39630</v>
      </c>
      <c r="L13" s="32" t="s">
        <v>1110</v>
      </c>
      <c r="M13" s="31">
        <f>41050</f>
        <v>41050</v>
      </c>
      <c r="N13" s="32" t="s">
        <v>1118</v>
      </c>
      <c r="O13" s="31">
        <f>39140</f>
        <v>39140</v>
      </c>
      <c r="P13" s="32" t="s">
        <v>777</v>
      </c>
      <c r="Q13" s="31">
        <f>40040</f>
        <v>40040</v>
      </c>
      <c r="R13" s="32" t="s">
        <v>681</v>
      </c>
      <c r="S13" s="33">
        <f>40120.48</f>
        <v>40120.480000000003</v>
      </c>
      <c r="T13" s="30">
        <f>995501</f>
        <v>995501</v>
      </c>
      <c r="U13" s="30">
        <f>417961</f>
        <v>417961</v>
      </c>
      <c r="V13" s="30">
        <f>40047394790</f>
        <v>40047394790</v>
      </c>
      <c r="W13" s="30">
        <f>16841441490</f>
        <v>16841441490</v>
      </c>
      <c r="X13" s="34">
        <f>21</f>
        <v>21</v>
      </c>
    </row>
    <row r="14" spans="1:24">
      <c r="A14" s="25" t="s">
        <v>1167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39760</f>
        <v>39760</v>
      </c>
      <c r="L14" s="32" t="s">
        <v>1110</v>
      </c>
      <c r="M14" s="31">
        <f>41190</f>
        <v>41190</v>
      </c>
      <c r="N14" s="32" t="s">
        <v>1118</v>
      </c>
      <c r="O14" s="31">
        <f>39290</f>
        <v>39290</v>
      </c>
      <c r="P14" s="32" t="s">
        <v>777</v>
      </c>
      <c r="Q14" s="31">
        <f>40200</f>
        <v>40200</v>
      </c>
      <c r="R14" s="32" t="s">
        <v>681</v>
      </c>
      <c r="S14" s="33">
        <f>40256.67</f>
        <v>40256.67</v>
      </c>
      <c r="T14" s="30">
        <f>5801600</f>
        <v>5801600</v>
      </c>
      <c r="U14" s="30">
        <f>176372</f>
        <v>176372</v>
      </c>
      <c r="V14" s="30">
        <f>233661460611</f>
        <v>233661460611</v>
      </c>
      <c r="W14" s="30">
        <f>7168319501</f>
        <v>7168319501</v>
      </c>
      <c r="X14" s="34">
        <f>21</f>
        <v>21</v>
      </c>
    </row>
    <row r="15" spans="1:24">
      <c r="A15" s="25" t="s">
        <v>1167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8000</f>
        <v>8000</v>
      </c>
      <c r="L15" s="32" t="s">
        <v>1110</v>
      </c>
      <c r="M15" s="31">
        <f>8330</f>
        <v>8330</v>
      </c>
      <c r="N15" s="32" t="s">
        <v>759</v>
      </c>
      <c r="O15" s="31">
        <f>7720</f>
        <v>7720</v>
      </c>
      <c r="P15" s="32" t="s">
        <v>875</v>
      </c>
      <c r="Q15" s="31">
        <f>7976</f>
        <v>7976</v>
      </c>
      <c r="R15" s="32" t="s">
        <v>681</v>
      </c>
      <c r="S15" s="33">
        <f>8062.95</f>
        <v>8062.95</v>
      </c>
      <c r="T15" s="30">
        <f>21560</f>
        <v>21560</v>
      </c>
      <c r="U15" s="30" t="str">
        <f>"－"</f>
        <v>－</v>
      </c>
      <c r="V15" s="30">
        <f>173506590</f>
        <v>173506590</v>
      </c>
      <c r="W15" s="30" t="str">
        <f>"－"</f>
        <v>－</v>
      </c>
      <c r="X15" s="34">
        <f>21</f>
        <v>21</v>
      </c>
    </row>
    <row r="16" spans="1:24">
      <c r="A16" s="25" t="s">
        <v>1167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1167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243.9</f>
        <v>243.9</v>
      </c>
      <c r="L17" s="32" t="s">
        <v>1110</v>
      </c>
      <c r="M17" s="31">
        <f>250.4</f>
        <v>250.4</v>
      </c>
      <c r="N17" s="32" t="s">
        <v>1113</v>
      </c>
      <c r="O17" s="31">
        <f>237</f>
        <v>237</v>
      </c>
      <c r="P17" s="32" t="s">
        <v>777</v>
      </c>
      <c r="Q17" s="31">
        <f>238.9</f>
        <v>238.9</v>
      </c>
      <c r="R17" s="32" t="s">
        <v>681</v>
      </c>
      <c r="S17" s="33">
        <f>244.6</f>
        <v>244.6</v>
      </c>
      <c r="T17" s="30">
        <f>534100</f>
        <v>534100</v>
      </c>
      <c r="U17" s="30">
        <f>2900</f>
        <v>2900</v>
      </c>
      <c r="V17" s="30">
        <f>130211480</f>
        <v>130211480</v>
      </c>
      <c r="W17" s="30">
        <f>715420</f>
        <v>715420</v>
      </c>
      <c r="X17" s="34">
        <f>21</f>
        <v>21</v>
      </c>
    </row>
    <row r="18" spans="1:24">
      <c r="A18" s="25" t="s">
        <v>1167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33430</f>
        <v>33430</v>
      </c>
      <c r="L18" s="32" t="s">
        <v>1110</v>
      </c>
      <c r="M18" s="31">
        <f>35400</f>
        <v>35400</v>
      </c>
      <c r="N18" s="32" t="s">
        <v>1118</v>
      </c>
      <c r="O18" s="31">
        <f>33100</f>
        <v>33100</v>
      </c>
      <c r="P18" s="32" t="s">
        <v>1113</v>
      </c>
      <c r="Q18" s="31">
        <f>34100</f>
        <v>34100</v>
      </c>
      <c r="R18" s="32" t="s">
        <v>681</v>
      </c>
      <c r="S18" s="33">
        <f>34089.05</f>
        <v>34089.050000000003</v>
      </c>
      <c r="T18" s="30">
        <f>408320</f>
        <v>408320</v>
      </c>
      <c r="U18" s="30" t="str">
        <f>"－"</f>
        <v>－</v>
      </c>
      <c r="V18" s="30">
        <f>13992112880</f>
        <v>13992112880</v>
      </c>
      <c r="W18" s="30" t="str">
        <f>"－"</f>
        <v>－</v>
      </c>
      <c r="X18" s="34">
        <f>21</f>
        <v>21</v>
      </c>
    </row>
    <row r="19" spans="1:24">
      <c r="A19" s="25" t="s">
        <v>1167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8878</f>
        <v>8878</v>
      </c>
      <c r="L19" s="32" t="s">
        <v>1110</v>
      </c>
      <c r="M19" s="31">
        <f>9500</f>
        <v>9500</v>
      </c>
      <c r="N19" s="32" t="s">
        <v>1112</v>
      </c>
      <c r="O19" s="31">
        <f>8776</f>
        <v>8776</v>
      </c>
      <c r="P19" s="32" t="s">
        <v>1115</v>
      </c>
      <c r="Q19" s="31">
        <f>9012</f>
        <v>9012</v>
      </c>
      <c r="R19" s="32" t="s">
        <v>681</v>
      </c>
      <c r="S19" s="33">
        <f>9024.48</f>
        <v>9024.48</v>
      </c>
      <c r="T19" s="30">
        <f>471320</f>
        <v>471320</v>
      </c>
      <c r="U19" s="30">
        <f>16690</f>
        <v>16690</v>
      </c>
      <c r="V19" s="30">
        <f>4262962340</f>
        <v>4262962340</v>
      </c>
      <c r="W19" s="30">
        <f>151853350</f>
        <v>151853350</v>
      </c>
      <c r="X19" s="34">
        <f>21</f>
        <v>21</v>
      </c>
    </row>
    <row r="20" spans="1:24">
      <c r="A20" s="25" t="s">
        <v>1167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39650</f>
        <v>39650</v>
      </c>
      <c r="L20" s="32" t="s">
        <v>1110</v>
      </c>
      <c r="M20" s="31">
        <f>41100</f>
        <v>41100</v>
      </c>
      <c r="N20" s="32" t="s">
        <v>1118</v>
      </c>
      <c r="O20" s="31">
        <f>39190</f>
        <v>39190</v>
      </c>
      <c r="P20" s="32" t="s">
        <v>777</v>
      </c>
      <c r="Q20" s="31">
        <f>40120</f>
        <v>40120</v>
      </c>
      <c r="R20" s="32" t="s">
        <v>681</v>
      </c>
      <c r="S20" s="33">
        <f>40162.38</f>
        <v>40162.379999999997</v>
      </c>
      <c r="T20" s="30">
        <f>932143</f>
        <v>932143</v>
      </c>
      <c r="U20" s="30">
        <f>194241</f>
        <v>194241</v>
      </c>
      <c r="V20" s="30">
        <f>37508402323</f>
        <v>37508402323</v>
      </c>
      <c r="W20" s="30">
        <f>7905094743</f>
        <v>7905094743</v>
      </c>
      <c r="X20" s="34">
        <f>21</f>
        <v>21</v>
      </c>
    </row>
    <row r="21" spans="1:24">
      <c r="A21" s="25" t="s">
        <v>1167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39790</f>
        <v>39790</v>
      </c>
      <c r="L21" s="32" t="s">
        <v>1110</v>
      </c>
      <c r="M21" s="31">
        <f>41240</f>
        <v>41240</v>
      </c>
      <c r="N21" s="32" t="s">
        <v>1118</v>
      </c>
      <c r="O21" s="31">
        <f>39330</f>
        <v>39330</v>
      </c>
      <c r="P21" s="32" t="s">
        <v>777</v>
      </c>
      <c r="Q21" s="31">
        <f>40230</f>
        <v>40230</v>
      </c>
      <c r="R21" s="32" t="s">
        <v>681</v>
      </c>
      <c r="S21" s="33">
        <f>40310</f>
        <v>40310</v>
      </c>
      <c r="T21" s="30">
        <f>903269</f>
        <v>903269</v>
      </c>
      <c r="U21" s="30">
        <f>294227</f>
        <v>294227</v>
      </c>
      <c r="V21" s="30">
        <f>36445366335</f>
        <v>36445366335</v>
      </c>
      <c r="W21" s="30">
        <f>11947424945</f>
        <v>11947424945</v>
      </c>
      <c r="X21" s="34">
        <f>21</f>
        <v>21</v>
      </c>
    </row>
    <row r="22" spans="1:24">
      <c r="A22" s="25" t="s">
        <v>1167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1080</f>
        <v>1080</v>
      </c>
      <c r="L22" s="32" t="s">
        <v>1110</v>
      </c>
      <c r="M22" s="31">
        <f>1080</f>
        <v>1080</v>
      </c>
      <c r="N22" s="32" t="s">
        <v>1110</v>
      </c>
      <c r="O22" s="31">
        <f>1050</f>
        <v>1050</v>
      </c>
      <c r="P22" s="32" t="s">
        <v>1115</v>
      </c>
      <c r="Q22" s="31">
        <f>1070</f>
        <v>1070</v>
      </c>
      <c r="R22" s="32" t="s">
        <v>681</v>
      </c>
      <c r="S22" s="33">
        <f>1066.76</f>
        <v>1066.76</v>
      </c>
      <c r="T22" s="30">
        <f>11302459</f>
        <v>11302459</v>
      </c>
      <c r="U22" s="30">
        <f>10808201</f>
        <v>10808201</v>
      </c>
      <c r="V22" s="30">
        <f>12010243297</f>
        <v>12010243297</v>
      </c>
      <c r="W22" s="30">
        <f>11482384232</f>
        <v>11482384232</v>
      </c>
      <c r="X22" s="34">
        <f>21</f>
        <v>21</v>
      </c>
    </row>
    <row r="23" spans="1:24">
      <c r="A23" s="25" t="s">
        <v>1167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1958</f>
        <v>1958</v>
      </c>
      <c r="L23" s="32" t="s">
        <v>1110</v>
      </c>
      <c r="M23" s="31">
        <f>1998</f>
        <v>1998</v>
      </c>
      <c r="N23" s="32" t="s">
        <v>1115</v>
      </c>
      <c r="O23" s="31">
        <f>1845.5</f>
        <v>1845.5</v>
      </c>
      <c r="P23" s="32" t="s">
        <v>777</v>
      </c>
      <c r="Q23" s="31">
        <f>1869.5</f>
        <v>1869.5</v>
      </c>
      <c r="R23" s="32" t="s">
        <v>681</v>
      </c>
      <c r="S23" s="33">
        <f>1922.83</f>
        <v>1922.83</v>
      </c>
      <c r="T23" s="30">
        <f>12373010</f>
        <v>12373010</v>
      </c>
      <c r="U23" s="30">
        <f>1685650</f>
        <v>1685650</v>
      </c>
      <c r="V23" s="30">
        <f>23771885770</f>
        <v>23771885770</v>
      </c>
      <c r="W23" s="30">
        <f>3187894895</f>
        <v>3187894895</v>
      </c>
      <c r="X23" s="34">
        <f>21</f>
        <v>21</v>
      </c>
    </row>
    <row r="24" spans="1:24">
      <c r="A24" s="25" t="s">
        <v>1167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1837.5</f>
        <v>1837.5</v>
      </c>
      <c r="L24" s="32" t="s">
        <v>1110</v>
      </c>
      <c r="M24" s="31">
        <f>1859</f>
        <v>1859</v>
      </c>
      <c r="N24" s="32" t="s">
        <v>1116</v>
      </c>
      <c r="O24" s="31">
        <f>1741</f>
        <v>1741</v>
      </c>
      <c r="P24" s="32" t="s">
        <v>777</v>
      </c>
      <c r="Q24" s="31">
        <f>1765</f>
        <v>1765</v>
      </c>
      <c r="R24" s="32" t="s">
        <v>681</v>
      </c>
      <c r="S24" s="33">
        <f>1809.26</f>
        <v>1809.26</v>
      </c>
      <c r="T24" s="30">
        <f>3036300</f>
        <v>3036300</v>
      </c>
      <c r="U24" s="30">
        <f>2067300</f>
        <v>2067300</v>
      </c>
      <c r="V24" s="30">
        <f>5571894057</f>
        <v>5571894057</v>
      </c>
      <c r="W24" s="30">
        <f>3817123107</f>
        <v>3817123107</v>
      </c>
      <c r="X24" s="34">
        <f>21</f>
        <v>21</v>
      </c>
    </row>
    <row r="25" spans="1:24">
      <c r="A25" s="25" t="s">
        <v>1167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39570</f>
        <v>39570</v>
      </c>
      <c r="L25" s="32" t="s">
        <v>1110</v>
      </c>
      <c r="M25" s="31">
        <f>40990</f>
        <v>40990</v>
      </c>
      <c r="N25" s="32" t="s">
        <v>1118</v>
      </c>
      <c r="O25" s="31">
        <f>39100</f>
        <v>39100</v>
      </c>
      <c r="P25" s="32" t="s">
        <v>777</v>
      </c>
      <c r="Q25" s="31">
        <f>39990</f>
        <v>39990</v>
      </c>
      <c r="R25" s="32" t="s">
        <v>681</v>
      </c>
      <c r="S25" s="33">
        <f>40067.14</f>
        <v>40067.14</v>
      </c>
      <c r="T25" s="30">
        <f>575241</f>
        <v>575241</v>
      </c>
      <c r="U25" s="30">
        <f>117081</f>
        <v>117081</v>
      </c>
      <c r="V25" s="30">
        <f>23116202093</f>
        <v>23116202093</v>
      </c>
      <c r="W25" s="30">
        <f>4729346853</f>
        <v>4729346853</v>
      </c>
      <c r="X25" s="34">
        <f>21</f>
        <v>21</v>
      </c>
    </row>
    <row r="26" spans="1:24">
      <c r="A26" s="25" t="s">
        <v>1167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2846</f>
        <v>2846</v>
      </c>
      <c r="L26" s="32" t="s">
        <v>1110</v>
      </c>
      <c r="M26" s="31">
        <f>2912</f>
        <v>2912</v>
      </c>
      <c r="N26" s="32" t="s">
        <v>1112</v>
      </c>
      <c r="O26" s="31">
        <f>2817.5</f>
        <v>2817.5</v>
      </c>
      <c r="P26" s="32" t="s">
        <v>777</v>
      </c>
      <c r="Q26" s="31">
        <f>2882.5</f>
        <v>2882.5</v>
      </c>
      <c r="R26" s="32" t="s">
        <v>681</v>
      </c>
      <c r="S26" s="33">
        <f>2863.45</f>
        <v>2863.45</v>
      </c>
      <c r="T26" s="30">
        <f>4976970</f>
        <v>4976970</v>
      </c>
      <c r="U26" s="30">
        <f>2706000</f>
        <v>2706000</v>
      </c>
      <c r="V26" s="30">
        <f>14219516690</f>
        <v>14219516690</v>
      </c>
      <c r="W26" s="30">
        <f>7712004960</f>
        <v>7712004960</v>
      </c>
      <c r="X26" s="34">
        <f>21</f>
        <v>21</v>
      </c>
    </row>
    <row r="27" spans="1:24">
      <c r="A27" s="25" t="s">
        <v>1167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16200</f>
        <v>16200</v>
      </c>
      <c r="L27" s="32" t="s">
        <v>1110</v>
      </c>
      <c r="M27" s="31">
        <f>16675</f>
        <v>16675</v>
      </c>
      <c r="N27" s="32" t="s">
        <v>777</v>
      </c>
      <c r="O27" s="31">
        <f>16095</f>
        <v>16095</v>
      </c>
      <c r="P27" s="32" t="s">
        <v>1115</v>
      </c>
      <c r="Q27" s="31">
        <f>16550</f>
        <v>16550</v>
      </c>
      <c r="R27" s="32" t="s">
        <v>681</v>
      </c>
      <c r="S27" s="33">
        <f>16448.25</f>
        <v>16448.25</v>
      </c>
      <c r="T27" s="30">
        <f>1193</f>
        <v>1193</v>
      </c>
      <c r="U27" s="30" t="str">
        <f>"－"</f>
        <v>－</v>
      </c>
      <c r="V27" s="30">
        <f>19603300</f>
        <v>19603300</v>
      </c>
      <c r="W27" s="30" t="str">
        <f>"－"</f>
        <v>－</v>
      </c>
      <c r="X27" s="34">
        <f>20</f>
        <v>20</v>
      </c>
    </row>
    <row r="28" spans="1:24">
      <c r="A28" s="25" t="s">
        <v>1167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388.8</f>
        <v>388.8</v>
      </c>
      <c r="L28" s="32" t="s">
        <v>1110</v>
      </c>
      <c r="M28" s="31">
        <f>395.7</f>
        <v>395.7</v>
      </c>
      <c r="N28" s="32" t="s">
        <v>777</v>
      </c>
      <c r="O28" s="31">
        <f>371</f>
        <v>371</v>
      </c>
      <c r="P28" s="32" t="s">
        <v>1112</v>
      </c>
      <c r="Q28" s="31">
        <f>373.9</f>
        <v>373.9</v>
      </c>
      <c r="R28" s="32" t="s">
        <v>681</v>
      </c>
      <c r="S28" s="33">
        <f>383.45</f>
        <v>383.45</v>
      </c>
      <c r="T28" s="30">
        <f>31212280</f>
        <v>31212280</v>
      </c>
      <c r="U28" s="30">
        <f>1070</f>
        <v>1070</v>
      </c>
      <c r="V28" s="30">
        <f>11989668029</f>
        <v>11989668029</v>
      </c>
      <c r="W28" s="30">
        <f>411404</f>
        <v>411404</v>
      </c>
      <c r="X28" s="34">
        <f>21</f>
        <v>21</v>
      </c>
    </row>
    <row r="29" spans="1:24">
      <c r="A29" s="25" t="s">
        <v>1167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153</f>
        <v>153</v>
      </c>
      <c r="L29" s="32" t="s">
        <v>1110</v>
      </c>
      <c r="M29" s="31">
        <f>156</f>
        <v>156</v>
      </c>
      <c r="N29" s="32" t="s">
        <v>777</v>
      </c>
      <c r="O29" s="31">
        <f>141</f>
        <v>141</v>
      </c>
      <c r="P29" s="32" t="s">
        <v>1118</v>
      </c>
      <c r="Q29" s="31">
        <f>148</f>
        <v>148</v>
      </c>
      <c r="R29" s="32" t="s">
        <v>681</v>
      </c>
      <c r="S29" s="33">
        <f>148.19</f>
        <v>148.19</v>
      </c>
      <c r="T29" s="30">
        <f>1217070395</f>
        <v>1217070395</v>
      </c>
      <c r="U29" s="30">
        <f>17705573</f>
        <v>17705573</v>
      </c>
      <c r="V29" s="30">
        <f>180536238627</f>
        <v>180536238627</v>
      </c>
      <c r="W29" s="30">
        <f>2618879666</f>
        <v>2618879666</v>
      </c>
      <c r="X29" s="34">
        <f>21</f>
        <v>21</v>
      </c>
    </row>
    <row r="30" spans="1:24">
      <c r="A30" s="25" t="s">
        <v>1167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50730</f>
        <v>50730</v>
      </c>
      <c r="L30" s="32" t="s">
        <v>1110</v>
      </c>
      <c r="M30" s="31">
        <f>54320</f>
        <v>54320</v>
      </c>
      <c r="N30" s="32" t="s">
        <v>1118</v>
      </c>
      <c r="O30" s="31">
        <f>49330</f>
        <v>49330</v>
      </c>
      <c r="P30" s="32" t="s">
        <v>777</v>
      </c>
      <c r="Q30" s="31">
        <f>51640</f>
        <v>51640</v>
      </c>
      <c r="R30" s="32" t="s">
        <v>681</v>
      </c>
      <c r="S30" s="33">
        <f>51914.29</f>
        <v>51914.29</v>
      </c>
      <c r="T30" s="30">
        <f>361930</f>
        <v>361930</v>
      </c>
      <c r="U30" s="30">
        <f>40</f>
        <v>40</v>
      </c>
      <c r="V30" s="30">
        <f>18813813650</f>
        <v>18813813650</v>
      </c>
      <c r="W30" s="30">
        <f>2058000</f>
        <v>2058000</v>
      </c>
      <c r="X30" s="34">
        <f>21</f>
        <v>21</v>
      </c>
    </row>
    <row r="31" spans="1:24">
      <c r="A31" s="25" t="s">
        <v>1167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372.9</f>
        <v>372.9</v>
      </c>
      <c r="L31" s="32" t="s">
        <v>1110</v>
      </c>
      <c r="M31" s="31">
        <f>379.7</f>
        <v>379.7</v>
      </c>
      <c r="N31" s="32" t="s">
        <v>777</v>
      </c>
      <c r="O31" s="31">
        <f>345.9</f>
        <v>345.9</v>
      </c>
      <c r="P31" s="32" t="s">
        <v>1118</v>
      </c>
      <c r="Q31" s="31">
        <f>362.1</f>
        <v>362.1</v>
      </c>
      <c r="R31" s="32" t="s">
        <v>681</v>
      </c>
      <c r="S31" s="33">
        <f>362.48</f>
        <v>362.48</v>
      </c>
      <c r="T31" s="30">
        <f>567826190</f>
        <v>567826190</v>
      </c>
      <c r="U31" s="30">
        <f>5287650</f>
        <v>5287650</v>
      </c>
      <c r="V31" s="30">
        <f>205872125023</f>
        <v>205872125023</v>
      </c>
      <c r="W31" s="30">
        <f>1914382869</f>
        <v>1914382869</v>
      </c>
      <c r="X31" s="34">
        <f>21</f>
        <v>21</v>
      </c>
    </row>
    <row r="32" spans="1:24">
      <c r="A32" s="25" t="s">
        <v>1167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25505</f>
        <v>25505</v>
      </c>
      <c r="L32" s="32" t="s">
        <v>1110</v>
      </c>
      <c r="M32" s="31">
        <f>26495</f>
        <v>26495</v>
      </c>
      <c r="N32" s="32" t="s">
        <v>1112</v>
      </c>
      <c r="O32" s="31">
        <f>25270</f>
        <v>25270</v>
      </c>
      <c r="P32" s="32" t="s">
        <v>1113</v>
      </c>
      <c r="Q32" s="31">
        <f>26045</f>
        <v>26045</v>
      </c>
      <c r="R32" s="32" t="s">
        <v>681</v>
      </c>
      <c r="S32" s="33">
        <f>25742.14</f>
        <v>25742.14</v>
      </c>
      <c r="T32" s="30">
        <f>213015</f>
        <v>213015</v>
      </c>
      <c r="U32" s="30">
        <f>193464</f>
        <v>193464</v>
      </c>
      <c r="V32" s="30">
        <f>5515329034</f>
        <v>5515329034</v>
      </c>
      <c r="W32" s="30">
        <f>5010208204</f>
        <v>5010208204</v>
      </c>
      <c r="X32" s="34">
        <f>21</f>
        <v>21</v>
      </c>
    </row>
    <row r="33" spans="1:24">
      <c r="A33" s="25" t="s">
        <v>1167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42070</f>
        <v>42070</v>
      </c>
      <c r="L33" s="32" t="s">
        <v>1110</v>
      </c>
      <c r="M33" s="31">
        <f>45100</f>
        <v>45100</v>
      </c>
      <c r="N33" s="32" t="s">
        <v>1118</v>
      </c>
      <c r="O33" s="31">
        <f>40930</f>
        <v>40930</v>
      </c>
      <c r="P33" s="32" t="s">
        <v>777</v>
      </c>
      <c r="Q33" s="31">
        <f>42900</f>
        <v>42900</v>
      </c>
      <c r="R33" s="32" t="s">
        <v>681</v>
      </c>
      <c r="S33" s="33">
        <f>43084.29</f>
        <v>43084.29</v>
      </c>
      <c r="T33" s="30">
        <f>976933</f>
        <v>976933</v>
      </c>
      <c r="U33" s="30">
        <f>15743</f>
        <v>15743</v>
      </c>
      <c r="V33" s="30">
        <f>42132939261</f>
        <v>42132939261</v>
      </c>
      <c r="W33" s="30">
        <f>678646531</f>
        <v>678646531</v>
      </c>
      <c r="X33" s="34">
        <f>21</f>
        <v>21</v>
      </c>
    </row>
    <row r="34" spans="1:24">
      <c r="A34" s="25" t="s">
        <v>1167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397</f>
        <v>397</v>
      </c>
      <c r="L34" s="32" t="s">
        <v>1110</v>
      </c>
      <c r="M34" s="31">
        <f>404</f>
        <v>404</v>
      </c>
      <c r="N34" s="32" t="s">
        <v>777</v>
      </c>
      <c r="O34" s="31">
        <f>368</f>
        <v>368</v>
      </c>
      <c r="P34" s="32" t="s">
        <v>1118</v>
      </c>
      <c r="Q34" s="31">
        <f>385</f>
        <v>385</v>
      </c>
      <c r="R34" s="32" t="s">
        <v>681</v>
      </c>
      <c r="S34" s="33">
        <f>385.57</f>
        <v>385.57</v>
      </c>
      <c r="T34" s="30">
        <f>31583121</f>
        <v>31583121</v>
      </c>
      <c r="U34" s="30">
        <f>527790</f>
        <v>527790</v>
      </c>
      <c r="V34" s="30">
        <f>12198074848</f>
        <v>12198074848</v>
      </c>
      <c r="W34" s="30">
        <f>203726816</f>
        <v>203726816</v>
      </c>
      <c r="X34" s="34">
        <f>21</f>
        <v>21</v>
      </c>
    </row>
    <row r="35" spans="1:24">
      <c r="A35" s="25" t="s">
        <v>1167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37710</f>
        <v>37710</v>
      </c>
      <c r="L35" s="32" t="s">
        <v>1110</v>
      </c>
      <c r="M35" s="31">
        <f>39450</f>
        <v>39450</v>
      </c>
      <c r="N35" s="32" t="s">
        <v>1112</v>
      </c>
      <c r="O35" s="31">
        <f>36870</f>
        <v>36870</v>
      </c>
      <c r="P35" s="32" t="s">
        <v>777</v>
      </c>
      <c r="Q35" s="31">
        <f>39030</f>
        <v>39030</v>
      </c>
      <c r="R35" s="32" t="s">
        <v>681</v>
      </c>
      <c r="S35" s="33">
        <f>38171.43</f>
        <v>38171.43</v>
      </c>
      <c r="T35" s="30">
        <f>154928</f>
        <v>154928</v>
      </c>
      <c r="U35" s="30">
        <f>3391</f>
        <v>3391</v>
      </c>
      <c r="V35" s="30">
        <f>5901747465</f>
        <v>5901747465</v>
      </c>
      <c r="W35" s="30">
        <f>129471435</f>
        <v>129471435</v>
      </c>
      <c r="X35" s="34">
        <f>21</f>
        <v>21</v>
      </c>
    </row>
    <row r="36" spans="1:24">
      <c r="A36" s="25" t="s">
        <v>1167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565</f>
        <v>565</v>
      </c>
      <c r="L36" s="32" t="s">
        <v>1110</v>
      </c>
      <c r="M36" s="31">
        <f>574</f>
        <v>574</v>
      </c>
      <c r="N36" s="32" t="s">
        <v>777</v>
      </c>
      <c r="O36" s="31">
        <f>539</f>
        <v>539</v>
      </c>
      <c r="P36" s="32" t="s">
        <v>1118</v>
      </c>
      <c r="Q36" s="31">
        <f>543</f>
        <v>543</v>
      </c>
      <c r="R36" s="32" t="s">
        <v>681</v>
      </c>
      <c r="S36" s="33">
        <f>556.95</f>
        <v>556.95000000000005</v>
      </c>
      <c r="T36" s="30">
        <f>1284035</f>
        <v>1284035</v>
      </c>
      <c r="U36" s="30">
        <f>2927</f>
        <v>2927</v>
      </c>
      <c r="V36" s="30">
        <f>715415787</f>
        <v>715415787</v>
      </c>
      <c r="W36" s="30">
        <f>1644689</f>
        <v>1644689</v>
      </c>
      <c r="X36" s="34">
        <f>21</f>
        <v>21</v>
      </c>
    </row>
    <row r="37" spans="1:24">
      <c r="A37" s="25" t="s">
        <v>1167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38410</f>
        <v>38410</v>
      </c>
      <c r="L37" s="32" t="s">
        <v>1110</v>
      </c>
      <c r="M37" s="31">
        <f>39780</f>
        <v>39780</v>
      </c>
      <c r="N37" s="32" t="s">
        <v>1118</v>
      </c>
      <c r="O37" s="31">
        <f>37940</f>
        <v>37940</v>
      </c>
      <c r="P37" s="32" t="s">
        <v>777</v>
      </c>
      <c r="Q37" s="31">
        <f>38810</f>
        <v>38810</v>
      </c>
      <c r="R37" s="32" t="s">
        <v>681</v>
      </c>
      <c r="S37" s="33">
        <f>38879.52</f>
        <v>38879.519999999997</v>
      </c>
      <c r="T37" s="30">
        <f>111327</f>
        <v>111327</v>
      </c>
      <c r="U37" s="30">
        <f>39607</f>
        <v>39607</v>
      </c>
      <c r="V37" s="30">
        <f>4355933405</f>
        <v>4355933405</v>
      </c>
      <c r="W37" s="30">
        <f>1553833745</f>
        <v>1553833745</v>
      </c>
      <c r="X37" s="34">
        <f>21</f>
        <v>21</v>
      </c>
    </row>
    <row r="38" spans="1:24">
      <c r="A38" s="25" t="s">
        <v>1167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38460</f>
        <v>38460</v>
      </c>
      <c r="L38" s="32" t="s">
        <v>1110</v>
      </c>
      <c r="M38" s="31">
        <f>39810</f>
        <v>39810</v>
      </c>
      <c r="N38" s="32" t="s">
        <v>1118</v>
      </c>
      <c r="O38" s="31">
        <f>38020</f>
        <v>38020</v>
      </c>
      <c r="P38" s="32" t="s">
        <v>777</v>
      </c>
      <c r="Q38" s="31">
        <f>38850</f>
        <v>38850</v>
      </c>
      <c r="R38" s="32" t="s">
        <v>681</v>
      </c>
      <c r="S38" s="33">
        <f>38970</f>
        <v>38970</v>
      </c>
      <c r="T38" s="30">
        <f>138688</f>
        <v>138688</v>
      </c>
      <c r="U38" s="30">
        <f>35330</f>
        <v>35330</v>
      </c>
      <c r="V38" s="30">
        <f>5372144840</f>
        <v>5372144840</v>
      </c>
      <c r="W38" s="30">
        <f>1363247990</f>
        <v>1363247990</v>
      </c>
      <c r="X38" s="34">
        <f>21</f>
        <v>21</v>
      </c>
    </row>
    <row r="39" spans="1:24">
      <c r="A39" s="25" t="s">
        <v>1167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1853.5</f>
        <v>1853.5</v>
      </c>
      <c r="L39" s="32" t="s">
        <v>1110</v>
      </c>
      <c r="M39" s="31">
        <f>1886</f>
        <v>1886</v>
      </c>
      <c r="N39" s="32" t="s">
        <v>1115</v>
      </c>
      <c r="O39" s="31">
        <f>1767</f>
        <v>1767</v>
      </c>
      <c r="P39" s="32" t="s">
        <v>777</v>
      </c>
      <c r="Q39" s="31">
        <f>1790.5</f>
        <v>1790.5</v>
      </c>
      <c r="R39" s="32" t="s">
        <v>681</v>
      </c>
      <c r="S39" s="33">
        <f>1837.21</f>
        <v>1837.21</v>
      </c>
      <c r="T39" s="30">
        <f>1132520</f>
        <v>1132520</v>
      </c>
      <c r="U39" s="30">
        <f>748960</f>
        <v>748960</v>
      </c>
      <c r="V39" s="30">
        <f>2069721099</f>
        <v>2069721099</v>
      </c>
      <c r="W39" s="30">
        <f>1363973144</f>
        <v>1363973144</v>
      </c>
      <c r="X39" s="34">
        <f>21</f>
        <v>21</v>
      </c>
    </row>
    <row r="40" spans="1:24">
      <c r="A40" s="25" t="s">
        <v>1167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2217.5</f>
        <v>2217.5</v>
      </c>
      <c r="L40" s="32" t="s">
        <v>1110</v>
      </c>
      <c r="M40" s="31">
        <f>2243</f>
        <v>2243</v>
      </c>
      <c r="N40" s="32" t="s">
        <v>759</v>
      </c>
      <c r="O40" s="31">
        <f>2143</f>
        <v>2143</v>
      </c>
      <c r="P40" s="32" t="s">
        <v>777</v>
      </c>
      <c r="Q40" s="31">
        <f>2197</f>
        <v>2197</v>
      </c>
      <c r="R40" s="32" t="s">
        <v>681</v>
      </c>
      <c r="S40" s="33">
        <f>2200.67</f>
        <v>2200.67</v>
      </c>
      <c r="T40" s="30">
        <f>9540</f>
        <v>9540</v>
      </c>
      <c r="U40" s="30" t="str">
        <f>"－"</f>
        <v>－</v>
      </c>
      <c r="V40" s="30">
        <f>20933810</f>
        <v>20933810</v>
      </c>
      <c r="W40" s="30" t="str">
        <f>"－"</f>
        <v>－</v>
      </c>
      <c r="X40" s="34">
        <f>21</f>
        <v>21</v>
      </c>
    </row>
    <row r="41" spans="1:24">
      <c r="A41" s="25" t="s">
        <v>1167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2050</f>
        <v>2050</v>
      </c>
      <c r="L41" s="32" t="s">
        <v>1110</v>
      </c>
      <c r="M41" s="31">
        <f>2050</f>
        <v>2050</v>
      </c>
      <c r="N41" s="32" t="s">
        <v>1110</v>
      </c>
      <c r="O41" s="31">
        <f>1996</f>
        <v>1996</v>
      </c>
      <c r="P41" s="32" t="s">
        <v>760</v>
      </c>
      <c r="Q41" s="31">
        <f>2028</f>
        <v>2028</v>
      </c>
      <c r="R41" s="32" t="s">
        <v>681</v>
      </c>
      <c r="S41" s="33">
        <f>2019.95</f>
        <v>2019.95</v>
      </c>
      <c r="T41" s="30">
        <f>16606</f>
        <v>16606</v>
      </c>
      <c r="U41" s="30" t="str">
        <f>"－"</f>
        <v>－</v>
      </c>
      <c r="V41" s="30">
        <f>33463061</f>
        <v>33463061</v>
      </c>
      <c r="W41" s="30" t="str">
        <f>"－"</f>
        <v>－</v>
      </c>
      <c r="X41" s="34">
        <f>21</f>
        <v>21</v>
      </c>
    </row>
    <row r="42" spans="1:24">
      <c r="A42" s="25" t="s">
        <v>1167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2734</f>
        <v>2734</v>
      </c>
      <c r="L42" s="32" t="s">
        <v>1110</v>
      </c>
      <c r="M42" s="31">
        <f>2760</f>
        <v>2760</v>
      </c>
      <c r="N42" s="32" t="s">
        <v>777</v>
      </c>
      <c r="O42" s="31">
        <f>2634</f>
        <v>2634</v>
      </c>
      <c r="P42" s="32" t="s">
        <v>1118</v>
      </c>
      <c r="Q42" s="31">
        <f>2696</f>
        <v>2696</v>
      </c>
      <c r="R42" s="32" t="s">
        <v>681</v>
      </c>
      <c r="S42" s="33">
        <f>2696.43</f>
        <v>2696.43</v>
      </c>
      <c r="T42" s="30">
        <f>2339204</f>
        <v>2339204</v>
      </c>
      <c r="U42" s="30">
        <f>7280</f>
        <v>7280</v>
      </c>
      <c r="V42" s="30">
        <f>6329689170</f>
        <v>6329689170</v>
      </c>
      <c r="W42" s="30">
        <f>19700220</f>
        <v>19700220</v>
      </c>
      <c r="X42" s="34">
        <f>21</f>
        <v>21</v>
      </c>
    </row>
    <row r="43" spans="1:24">
      <c r="A43" s="25" t="s">
        <v>1167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3185</f>
        <v>3185</v>
      </c>
      <c r="L43" s="32" t="s">
        <v>1110</v>
      </c>
      <c r="M43" s="31">
        <f>3205</f>
        <v>3205</v>
      </c>
      <c r="N43" s="32" t="s">
        <v>777</v>
      </c>
      <c r="O43" s="31">
        <f>3110</f>
        <v>3110</v>
      </c>
      <c r="P43" s="32" t="s">
        <v>1118</v>
      </c>
      <c r="Q43" s="31">
        <f>3120</f>
        <v>3120</v>
      </c>
      <c r="R43" s="32" t="s">
        <v>681</v>
      </c>
      <c r="S43" s="33">
        <f>3160.95</f>
        <v>3160.95</v>
      </c>
      <c r="T43" s="30">
        <f>507440</f>
        <v>507440</v>
      </c>
      <c r="U43" s="30">
        <f>180</f>
        <v>180</v>
      </c>
      <c r="V43" s="30">
        <f>1611679790</f>
        <v>1611679790</v>
      </c>
      <c r="W43" s="30">
        <f>573060</f>
        <v>573060</v>
      </c>
      <c r="X43" s="34">
        <f>21</f>
        <v>21</v>
      </c>
    </row>
    <row r="44" spans="1:24">
      <c r="A44" s="25" t="s">
        <v>1167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32140</f>
        <v>32140</v>
      </c>
      <c r="L44" s="32" t="s">
        <v>1110</v>
      </c>
      <c r="M44" s="31">
        <f>34450</f>
        <v>34450</v>
      </c>
      <c r="N44" s="32" t="s">
        <v>1118</v>
      </c>
      <c r="O44" s="31">
        <f>31280</f>
        <v>31280</v>
      </c>
      <c r="P44" s="32" t="s">
        <v>777</v>
      </c>
      <c r="Q44" s="31">
        <f>32780</f>
        <v>32780</v>
      </c>
      <c r="R44" s="32" t="s">
        <v>681</v>
      </c>
      <c r="S44" s="33">
        <f>32919.05</f>
        <v>32919.050000000003</v>
      </c>
      <c r="T44" s="30">
        <f>6073226</f>
        <v>6073226</v>
      </c>
      <c r="U44" s="30">
        <f>111182</f>
        <v>111182</v>
      </c>
      <c r="V44" s="30">
        <f>199929058595</f>
        <v>199929058595</v>
      </c>
      <c r="W44" s="30">
        <f>3665314415</f>
        <v>3665314415</v>
      </c>
      <c r="X44" s="34">
        <f>21</f>
        <v>21</v>
      </c>
    </row>
    <row r="45" spans="1:24">
      <c r="A45" s="25" t="s">
        <v>1167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615</f>
        <v>615</v>
      </c>
      <c r="L45" s="32" t="s">
        <v>1110</v>
      </c>
      <c r="M45" s="31">
        <f>627</f>
        <v>627</v>
      </c>
      <c r="N45" s="32" t="s">
        <v>777</v>
      </c>
      <c r="O45" s="31">
        <f>570</f>
        <v>570</v>
      </c>
      <c r="P45" s="32" t="s">
        <v>1118</v>
      </c>
      <c r="Q45" s="31">
        <f>598</f>
        <v>598</v>
      </c>
      <c r="R45" s="32" t="s">
        <v>681</v>
      </c>
      <c r="S45" s="33">
        <f>597.9</f>
        <v>597.9</v>
      </c>
      <c r="T45" s="30">
        <f>220281530</f>
        <v>220281530</v>
      </c>
      <c r="U45" s="30">
        <f>2142140</f>
        <v>2142140</v>
      </c>
      <c r="V45" s="30">
        <f>131861578826</f>
        <v>131861578826</v>
      </c>
      <c r="W45" s="30">
        <f>1277668778</f>
        <v>1277668778</v>
      </c>
      <c r="X45" s="34">
        <f>21</f>
        <v>21</v>
      </c>
    </row>
    <row r="46" spans="1:24">
      <c r="A46" s="25" t="s">
        <v>1167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30560</f>
        <v>30560</v>
      </c>
      <c r="L46" s="32" t="s">
        <v>1110</v>
      </c>
      <c r="M46" s="31">
        <f>32320</f>
        <v>32320</v>
      </c>
      <c r="N46" s="32" t="s">
        <v>1112</v>
      </c>
      <c r="O46" s="31">
        <f>30180</f>
        <v>30180</v>
      </c>
      <c r="P46" s="32" t="s">
        <v>777</v>
      </c>
      <c r="Q46" s="31">
        <f>31910</f>
        <v>31910</v>
      </c>
      <c r="R46" s="32" t="s">
        <v>681</v>
      </c>
      <c r="S46" s="33">
        <f>31159.05</f>
        <v>31159.05</v>
      </c>
      <c r="T46" s="30">
        <f>4087</f>
        <v>4087</v>
      </c>
      <c r="U46" s="30" t="str">
        <f>"－"</f>
        <v>－</v>
      </c>
      <c r="V46" s="30">
        <f>127594410</f>
        <v>127594410</v>
      </c>
      <c r="W46" s="30" t="str">
        <f>"－"</f>
        <v>－</v>
      </c>
      <c r="X46" s="34">
        <f>21</f>
        <v>21</v>
      </c>
    </row>
    <row r="47" spans="1:24">
      <c r="A47" s="25" t="s">
        <v>1167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3040</f>
        <v>3040</v>
      </c>
      <c r="L47" s="32" t="s">
        <v>1115</v>
      </c>
      <c r="M47" s="31">
        <f>3085</f>
        <v>3085</v>
      </c>
      <c r="N47" s="32" t="s">
        <v>777</v>
      </c>
      <c r="O47" s="31">
        <f>2969</f>
        <v>2969</v>
      </c>
      <c r="P47" s="32" t="s">
        <v>1112</v>
      </c>
      <c r="Q47" s="31">
        <f>3035</f>
        <v>3035</v>
      </c>
      <c r="R47" s="32" t="s">
        <v>681</v>
      </c>
      <c r="S47" s="33">
        <f>3025.2</f>
        <v>3025.2</v>
      </c>
      <c r="T47" s="30">
        <f>1025</f>
        <v>1025</v>
      </c>
      <c r="U47" s="30" t="str">
        <f>"－"</f>
        <v>－</v>
      </c>
      <c r="V47" s="30">
        <f>3111174</f>
        <v>3111174</v>
      </c>
      <c r="W47" s="30" t="str">
        <f>"－"</f>
        <v>－</v>
      </c>
      <c r="X47" s="34">
        <f>15</f>
        <v>15</v>
      </c>
    </row>
    <row r="48" spans="1:24">
      <c r="A48" s="25" t="s">
        <v>1167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720</f>
        <v>720</v>
      </c>
      <c r="L48" s="32" t="s">
        <v>1110</v>
      </c>
      <c r="M48" s="31">
        <f>739</f>
        <v>739</v>
      </c>
      <c r="N48" s="32" t="s">
        <v>1110</v>
      </c>
      <c r="O48" s="31">
        <f>675</f>
        <v>675</v>
      </c>
      <c r="P48" s="32" t="s">
        <v>883</v>
      </c>
      <c r="Q48" s="31">
        <f>696</f>
        <v>696</v>
      </c>
      <c r="R48" s="32" t="s">
        <v>681</v>
      </c>
      <c r="S48" s="33">
        <f>705.38</f>
        <v>705.38</v>
      </c>
      <c r="T48" s="30">
        <f>38351</f>
        <v>38351</v>
      </c>
      <c r="U48" s="30" t="str">
        <f>"－"</f>
        <v>－</v>
      </c>
      <c r="V48" s="30">
        <f>26983930</f>
        <v>26983930</v>
      </c>
      <c r="W48" s="30" t="str">
        <f>"－"</f>
        <v>－</v>
      </c>
      <c r="X48" s="34">
        <f>21</f>
        <v>21</v>
      </c>
    </row>
    <row r="49" spans="1:24">
      <c r="A49" s="25" t="s">
        <v>1167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695.2</f>
        <v>695.2</v>
      </c>
      <c r="L49" s="32" t="s">
        <v>1110</v>
      </c>
      <c r="M49" s="31">
        <f>701.9</f>
        <v>701.9</v>
      </c>
      <c r="N49" s="32" t="s">
        <v>1113</v>
      </c>
      <c r="O49" s="31">
        <f>660</f>
        <v>660</v>
      </c>
      <c r="P49" s="32" t="s">
        <v>1112</v>
      </c>
      <c r="Q49" s="31">
        <f>674</f>
        <v>674</v>
      </c>
      <c r="R49" s="32" t="s">
        <v>681</v>
      </c>
      <c r="S49" s="33">
        <f>682.04</f>
        <v>682.04</v>
      </c>
      <c r="T49" s="30">
        <f>65640</f>
        <v>65640</v>
      </c>
      <c r="U49" s="30" t="str">
        <f>"－"</f>
        <v>－</v>
      </c>
      <c r="V49" s="30">
        <f>44640423</f>
        <v>44640423</v>
      </c>
      <c r="W49" s="30" t="str">
        <f>"－"</f>
        <v>－</v>
      </c>
      <c r="X49" s="34">
        <f>21</f>
        <v>21</v>
      </c>
    </row>
    <row r="50" spans="1:24">
      <c r="A50" s="25" t="s">
        <v>1167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287</f>
        <v>287</v>
      </c>
      <c r="L50" s="32" t="s">
        <v>1110</v>
      </c>
      <c r="M50" s="31">
        <f>299</f>
        <v>299</v>
      </c>
      <c r="N50" s="32" t="s">
        <v>1115</v>
      </c>
      <c r="O50" s="31">
        <f>270</f>
        <v>270</v>
      </c>
      <c r="P50" s="32" t="s">
        <v>1118</v>
      </c>
      <c r="Q50" s="31">
        <f>273</f>
        <v>273</v>
      </c>
      <c r="R50" s="32" t="s">
        <v>681</v>
      </c>
      <c r="S50" s="33">
        <f>280.43</f>
        <v>280.43</v>
      </c>
      <c r="T50" s="30">
        <f>37469</f>
        <v>37469</v>
      </c>
      <c r="U50" s="30" t="str">
        <f>"－"</f>
        <v>－</v>
      </c>
      <c r="V50" s="30">
        <f>10558367</f>
        <v>10558367</v>
      </c>
      <c r="W50" s="30" t="str">
        <f>"－"</f>
        <v>－</v>
      </c>
      <c r="X50" s="34">
        <f>21</f>
        <v>21</v>
      </c>
    </row>
    <row r="51" spans="1:24">
      <c r="A51" s="25" t="s">
        <v>1167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2790.5</f>
        <v>2790.5</v>
      </c>
      <c r="L51" s="32" t="s">
        <v>1110</v>
      </c>
      <c r="M51" s="31">
        <f>2850</f>
        <v>2850</v>
      </c>
      <c r="N51" s="32" t="s">
        <v>883</v>
      </c>
      <c r="O51" s="31">
        <f>2740</f>
        <v>2740</v>
      </c>
      <c r="P51" s="32" t="s">
        <v>1123</v>
      </c>
      <c r="Q51" s="31">
        <f>2841</f>
        <v>2841</v>
      </c>
      <c r="R51" s="32" t="s">
        <v>681</v>
      </c>
      <c r="S51" s="33">
        <f>2806.76</f>
        <v>2806.76</v>
      </c>
      <c r="T51" s="30">
        <f>797390</f>
        <v>797390</v>
      </c>
      <c r="U51" s="30">
        <f>334900</f>
        <v>334900</v>
      </c>
      <c r="V51" s="30">
        <f>2234088780</f>
        <v>2234088780</v>
      </c>
      <c r="W51" s="30">
        <f>940646770</f>
        <v>940646770</v>
      </c>
      <c r="X51" s="34">
        <f>21</f>
        <v>21</v>
      </c>
    </row>
    <row r="52" spans="1:24">
      <c r="A52" s="25" t="s">
        <v>1167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25345</f>
        <v>25345</v>
      </c>
      <c r="L52" s="32" t="s">
        <v>1110</v>
      </c>
      <c r="M52" s="31">
        <f>25850</f>
        <v>25850</v>
      </c>
      <c r="N52" s="32" t="s">
        <v>883</v>
      </c>
      <c r="O52" s="31">
        <f>25100</f>
        <v>25100</v>
      </c>
      <c r="P52" s="32" t="s">
        <v>777</v>
      </c>
      <c r="Q52" s="31">
        <f>25755</f>
        <v>25755</v>
      </c>
      <c r="R52" s="32" t="s">
        <v>681</v>
      </c>
      <c r="S52" s="33">
        <f>25439.76</f>
        <v>25439.759999999998</v>
      </c>
      <c r="T52" s="30">
        <f>938</f>
        <v>938</v>
      </c>
      <c r="U52" s="30" t="str">
        <f>"－"</f>
        <v>－</v>
      </c>
      <c r="V52" s="30">
        <f>23775940</f>
        <v>23775940</v>
      </c>
      <c r="W52" s="30" t="str">
        <f>"－"</f>
        <v>－</v>
      </c>
      <c r="X52" s="34">
        <f>21</f>
        <v>21</v>
      </c>
    </row>
    <row r="53" spans="1:24">
      <c r="A53" s="25" t="s">
        <v>1167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2817</f>
        <v>2817</v>
      </c>
      <c r="L53" s="32" t="s">
        <v>1110</v>
      </c>
      <c r="M53" s="31">
        <f>2883</f>
        <v>2883</v>
      </c>
      <c r="N53" s="32" t="s">
        <v>1112</v>
      </c>
      <c r="O53" s="31">
        <f>2789</f>
        <v>2789</v>
      </c>
      <c r="P53" s="32" t="s">
        <v>777</v>
      </c>
      <c r="Q53" s="31">
        <f>2869</f>
        <v>2869</v>
      </c>
      <c r="R53" s="32" t="s">
        <v>681</v>
      </c>
      <c r="S53" s="33">
        <f>2836.43</f>
        <v>2836.43</v>
      </c>
      <c r="T53" s="30">
        <f>14831784</f>
        <v>14831784</v>
      </c>
      <c r="U53" s="30">
        <f>8829065</f>
        <v>8829065</v>
      </c>
      <c r="V53" s="30">
        <f>42106943870</f>
        <v>42106943870</v>
      </c>
      <c r="W53" s="30">
        <f>25102405348</f>
        <v>25102405348</v>
      </c>
      <c r="X53" s="34">
        <f>21</f>
        <v>21</v>
      </c>
    </row>
    <row r="54" spans="1:24">
      <c r="A54" s="25" t="s">
        <v>1167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1876</f>
        <v>1876</v>
      </c>
      <c r="L54" s="32" t="s">
        <v>1110</v>
      </c>
      <c r="M54" s="31">
        <f>1910</f>
        <v>1910</v>
      </c>
      <c r="N54" s="32" t="s">
        <v>1115</v>
      </c>
      <c r="O54" s="31">
        <f>1769</f>
        <v>1769</v>
      </c>
      <c r="P54" s="32" t="s">
        <v>777</v>
      </c>
      <c r="Q54" s="31">
        <f>1794</f>
        <v>1794</v>
      </c>
      <c r="R54" s="32" t="s">
        <v>681</v>
      </c>
      <c r="S54" s="33">
        <f>1842.38</f>
        <v>1842.38</v>
      </c>
      <c r="T54" s="30">
        <f>10472422</f>
        <v>10472422</v>
      </c>
      <c r="U54" s="30">
        <f>7889205</f>
        <v>7889205</v>
      </c>
      <c r="V54" s="30">
        <f>19366818727</f>
        <v>19366818727</v>
      </c>
      <c r="W54" s="30">
        <f>14573952433</f>
        <v>14573952433</v>
      </c>
      <c r="X54" s="34">
        <f>21</f>
        <v>21</v>
      </c>
    </row>
    <row r="55" spans="1:24">
      <c r="A55" s="25" t="s">
        <v>1167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2580</f>
        <v>2580</v>
      </c>
      <c r="L55" s="32" t="s">
        <v>1110</v>
      </c>
      <c r="M55" s="31">
        <f>2580</f>
        <v>2580</v>
      </c>
      <c r="N55" s="32" t="s">
        <v>1110</v>
      </c>
      <c r="O55" s="31">
        <f>2505</f>
        <v>2505</v>
      </c>
      <c r="P55" s="32" t="s">
        <v>777</v>
      </c>
      <c r="Q55" s="31">
        <f>2569</f>
        <v>2569</v>
      </c>
      <c r="R55" s="32" t="s">
        <v>681</v>
      </c>
      <c r="S55" s="33">
        <f>2550.05</f>
        <v>2550.0500000000002</v>
      </c>
      <c r="T55" s="30">
        <f>87724</f>
        <v>87724</v>
      </c>
      <c r="U55" s="30">
        <f>5372</f>
        <v>5372</v>
      </c>
      <c r="V55" s="30">
        <f>223285568</f>
        <v>223285568</v>
      </c>
      <c r="W55" s="30">
        <f>13805356</f>
        <v>13805356</v>
      </c>
      <c r="X55" s="34">
        <f>21</f>
        <v>21</v>
      </c>
    </row>
    <row r="56" spans="1:24">
      <c r="A56" s="25" t="s">
        <v>1167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3660</f>
        <v>3660</v>
      </c>
      <c r="L56" s="32" t="s">
        <v>1110</v>
      </c>
      <c r="M56" s="31">
        <f>3775</f>
        <v>3775</v>
      </c>
      <c r="N56" s="32" t="s">
        <v>883</v>
      </c>
      <c r="O56" s="31">
        <f>3620</f>
        <v>3620</v>
      </c>
      <c r="P56" s="32" t="s">
        <v>1113</v>
      </c>
      <c r="Q56" s="31">
        <f>3760</f>
        <v>3760</v>
      </c>
      <c r="R56" s="32" t="s">
        <v>681</v>
      </c>
      <c r="S56" s="33">
        <f>3690.24</f>
        <v>3690.24</v>
      </c>
      <c r="T56" s="30">
        <f>940190</f>
        <v>940190</v>
      </c>
      <c r="U56" s="30">
        <f>374106</f>
        <v>374106</v>
      </c>
      <c r="V56" s="30">
        <f>3468232615</f>
        <v>3468232615</v>
      </c>
      <c r="W56" s="30">
        <f>1381756525</f>
        <v>1381756525</v>
      </c>
      <c r="X56" s="34">
        <f>21</f>
        <v>21</v>
      </c>
    </row>
    <row r="57" spans="1:24">
      <c r="A57" s="25" t="s">
        <v>1167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35420</f>
        <v>35420</v>
      </c>
      <c r="L57" s="32" t="s">
        <v>1115</v>
      </c>
      <c r="M57" s="31">
        <f>36200</f>
        <v>36200</v>
      </c>
      <c r="N57" s="32" t="s">
        <v>778</v>
      </c>
      <c r="O57" s="31">
        <f>35340</f>
        <v>35340</v>
      </c>
      <c r="P57" s="32" t="s">
        <v>759</v>
      </c>
      <c r="Q57" s="31">
        <f>36000</f>
        <v>36000</v>
      </c>
      <c r="R57" s="32" t="s">
        <v>681</v>
      </c>
      <c r="S57" s="33">
        <f>35858</f>
        <v>35858</v>
      </c>
      <c r="T57" s="30">
        <f>113</f>
        <v>113</v>
      </c>
      <c r="U57" s="30" t="str">
        <f>"－"</f>
        <v>－</v>
      </c>
      <c r="V57" s="30">
        <f>4013150</f>
        <v>4013150</v>
      </c>
      <c r="W57" s="30" t="str">
        <f>"－"</f>
        <v>－</v>
      </c>
      <c r="X57" s="34">
        <f>5</f>
        <v>5</v>
      </c>
    </row>
    <row r="58" spans="1:24">
      <c r="A58" s="25" t="s">
        <v>1167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28100</f>
        <v>28100</v>
      </c>
      <c r="L58" s="32" t="s">
        <v>1116</v>
      </c>
      <c r="M58" s="31">
        <f>28100</f>
        <v>28100</v>
      </c>
      <c r="N58" s="32" t="s">
        <v>1116</v>
      </c>
      <c r="O58" s="31">
        <f>27405</f>
        <v>27405</v>
      </c>
      <c r="P58" s="32" t="s">
        <v>876</v>
      </c>
      <c r="Q58" s="31">
        <f>27925</f>
        <v>27925</v>
      </c>
      <c r="R58" s="32" t="s">
        <v>1114</v>
      </c>
      <c r="S58" s="33">
        <f>27801.25</f>
        <v>27801.25</v>
      </c>
      <c r="T58" s="30">
        <f>22</f>
        <v>22</v>
      </c>
      <c r="U58" s="30" t="str">
        <f>"－"</f>
        <v>－</v>
      </c>
      <c r="V58" s="30">
        <f>609525</f>
        <v>609525</v>
      </c>
      <c r="W58" s="30" t="str">
        <f>"－"</f>
        <v>－</v>
      </c>
      <c r="X58" s="34">
        <f>8</f>
        <v>8</v>
      </c>
    </row>
    <row r="59" spans="1:24">
      <c r="A59" s="25" t="s">
        <v>1167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2823</f>
        <v>2823</v>
      </c>
      <c r="L59" s="32" t="s">
        <v>1110</v>
      </c>
      <c r="M59" s="31">
        <f>2980</f>
        <v>2980</v>
      </c>
      <c r="N59" s="32" t="s">
        <v>777</v>
      </c>
      <c r="O59" s="31">
        <f>2777</f>
        <v>2777</v>
      </c>
      <c r="P59" s="32" t="s">
        <v>1113</v>
      </c>
      <c r="Q59" s="31">
        <f>2934</f>
        <v>2934</v>
      </c>
      <c r="R59" s="32" t="s">
        <v>681</v>
      </c>
      <c r="S59" s="33">
        <f>2880.76</f>
        <v>2880.76</v>
      </c>
      <c r="T59" s="30">
        <f>2759</f>
        <v>2759</v>
      </c>
      <c r="U59" s="30">
        <f>4</f>
        <v>4</v>
      </c>
      <c r="V59" s="30">
        <f>7991472</f>
        <v>7991472</v>
      </c>
      <c r="W59" s="30">
        <f>11420</f>
        <v>11420</v>
      </c>
      <c r="X59" s="34">
        <f>21</f>
        <v>21</v>
      </c>
    </row>
    <row r="60" spans="1:24">
      <c r="A60" s="25" t="s">
        <v>1167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1680</f>
        <v>1680</v>
      </c>
      <c r="L60" s="32" t="s">
        <v>1110</v>
      </c>
      <c r="M60" s="31">
        <f>1719</f>
        <v>1719</v>
      </c>
      <c r="N60" s="32" t="s">
        <v>760</v>
      </c>
      <c r="O60" s="31">
        <f>1673</f>
        <v>1673</v>
      </c>
      <c r="P60" s="32" t="s">
        <v>1110</v>
      </c>
      <c r="Q60" s="31">
        <f>1689</f>
        <v>1689</v>
      </c>
      <c r="R60" s="32" t="s">
        <v>681</v>
      </c>
      <c r="S60" s="33">
        <f>1697.43</f>
        <v>1697.43</v>
      </c>
      <c r="T60" s="30">
        <f>5952931</f>
        <v>5952931</v>
      </c>
      <c r="U60" s="30">
        <f>2296294</f>
        <v>2296294</v>
      </c>
      <c r="V60" s="30">
        <f>10106649141</f>
        <v>10106649141</v>
      </c>
      <c r="W60" s="30">
        <f>3891141221</f>
        <v>3891141221</v>
      </c>
      <c r="X60" s="34">
        <f>21</f>
        <v>21</v>
      </c>
    </row>
    <row r="61" spans="1:24">
      <c r="A61" s="25" t="s">
        <v>1167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2826</f>
        <v>2826</v>
      </c>
      <c r="L61" s="32" t="s">
        <v>1110</v>
      </c>
      <c r="M61" s="31">
        <f>2868</f>
        <v>2868</v>
      </c>
      <c r="N61" s="32" t="s">
        <v>681</v>
      </c>
      <c r="O61" s="31">
        <f>2682</f>
        <v>2682</v>
      </c>
      <c r="P61" s="32" t="s">
        <v>876</v>
      </c>
      <c r="Q61" s="31">
        <f>2849</f>
        <v>2849</v>
      </c>
      <c r="R61" s="32" t="s">
        <v>681</v>
      </c>
      <c r="S61" s="33">
        <f>2773</f>
        <v>2773</v>
      </c>
      <c r="T61" s="30">
        <f>999</f>
        <v>999</v>
      </c>
      <c r="U61" s="30" t="str">
        <f>"－"</f>
        <v>－</v>
      </c>
      <c r="V61" s="30">
        <f>2772932</f>
        <v>2772932</v>
      </c>
      <c r="W61" s="30" t="str">
        <f>"－"</f>
        <v>－</v>
      </c>
      <c r="X61" s="34">
        <f>21</f>
        <v>21</v>
      </c>
    </row>
    <row r="62" spans="1:24">
      <c r="A62" s="25" t="s">
        <v>1167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2769.5</f>
        <v>2769.5</v>
      </c>
      <c r="L62" s="32" t="s">
        <v>1110</v>
      </c>
      <c r="M62" s="31">
        <f>2866</f>
        <v>2866</v>
      </c>
      <c r="N62" s="32" t="s">
        <v>874</v>
      </c>
      <c r="O62" s="31">
        <f>2739</f>
        <v>2739</v>
      </c>
      <c r="P62" s="32" t="s">
        <v>1113</v>
      </c>
      <c r="Q62" s="31">
        <f>2831.5</f>
        <v>2831.5</v>
      </c>
      <c r="R62" s="32" t="s">
        <v>681</v>
      </c>
      <c r="S62" s="33">
        <f>2788.67</f>
        <v>2788.67</v>
      </c>
      <c r="T62" s="30">
        <f>16720</f>
        <v>16720</v>
      </c>
      <c r="U62" s="30">
        <f>10</f>
        <v>10</v>
      </c>
      <c r="V62" s="30">
        <f>47024715</f>
        <v>47024715</v>
      </c>
      <c r="W62" s="30">
        <f>27780</f>
        <v>27780</v>
      </c>
      <c r="X62" s="34">
        <f>21</f>
        <v>21</v>
      </c>
    </row>
    <row r="63" spans="1:24">
      <c r="A63" s="25" t="s">
        <v>1167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39880</f>
        <v>39880</v>
      </c>
      <c r="L63" s="32" t="s">
        <v>1116</v>
      </c>
      <c r="M63" s="31">
        <f>40100</f>
        <v>40100</v>
      </c>
      <c r="N63" s="32" t="s">
        <v>876</v>
      </c>
      <c r="O63" s="31">
        <f>39000</f>
        <v>39000</v>
      </c>
      <c r="P63" s="32" t="s">
        <v>778</v>
      </c>
      <c r="Q63" s="31">
        <f>39000</f>
        <v>39000</v>
      </c>
      <c r="R63" s="32" t="s">
        <v>778</v>
      </c>
      <c r="S63" s="33">
        <f>39660</f>
        <v>39660</v>
      </c>
      <c r="T63" s="30">
        <f>53899</f>
        <v>53899</v>
      </c>
      <c r="U63" s="30">
        <f>53894</f>
        <v>53894</v>
      </c>
      <c r="V63" s="30">
        <f>2204165845</f>
        <v>2204165845</v>
      </c>
      <c r="W63" s="30">
        <f>2203967105</f>
        <v>2203967105</v>
      </c>
      <c r="X63" s="34">
        <f>3</f>
        <v>3</v>
      </c>
    </row>
    <row r="64" spans="1:24">
      <c r="A64" s="25" t="s">
        <v>1167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23855</f>
        <v>23855</v>
      </c>
      <c r="L64" s="32" t="s">
        <v>1110</v>
      </c>
      <c r="M64" s="31">
        <f>24625</f>
        <v>24625</v>
      </c>
      <c r="N64" s="32" t="s">
        <v>1118</v>
      </c>
      <c r="O64" s="31">
        <f>23600</f>
        <v>23600</v>
      </c>
      <c r="P64" s="32" t="s">
        <v>1116</v>
      </c>
      <c r="Q64" s="31">
        <f>23995</f>
        <v>23995</v>
      </c>
      <c r="R64" s="32" t="s">
        <v>681</v>
      </c>
      <c r="S64" s="33">
        <f>24005.48</f>
        <v>24005.48</v>
      </c>
      <c r="T64" s="30">
        <f>838731</f>
        <v>838731</v>
      </c>
      <c r="U64" s="30">
        <f>774200</f>
        <v>774200</v>
      </c>
      <c r="V64" s="30">
        <f>20029089669</f>
        <v>20029089669</v>
      </c>
      <c r="W64" s="30">
        <f>18483668064</f>
        <v>18483668064</v>
      </c>
      <c r="X64" s="34">
        <f>21</f>
        <v>21</v>
      </c>
    </row>
    <row r="65" spans="1:24">
      <c r="A65" s="25" t="s">
        <v>1167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12980</f>
        <v>12980</v>
      </c>
      <c r="L65" s="32" t="s">
        <v>1110</v>
      </c>
      <c r="M65" s="31">
        <f>13280</f>
        <v>13280</v>
      </c>
      <c r="N65" s="32" t="s">
        <v>760</v>
      </c>
      <c r="O65" s="31">
        <f>12925</f>
        <v>12925</v>
      </c>
      <c r="P65" s="32" t="s">
        <v>1110</v>
      </c>
      <c r="Q65" s="31">
        <f>13040</f>
        <v>13040</v>
      </c>
      <c r="R65" s="32" t="s">
        <v>681</v>
      </c>
      <c r="S65" s="33">
        <f>13114.29</f>
        <v>13114.29</v>
      </c>
      <c r="T65" s="30">
        <f>282106</f>
        <v>282106</v>
      </c>
      <c r="U65" s="30">
        <f>238168</f>
        <v>238168</v>
      </c>
      <c r="V65" s="30">
        <f>3694643444</f>
        <v>3694643444</v>
      </c>
      <c r="W65" s="30">
        <f>3118442089</f>
        <v>3118442089</v>
      </c>
      <c r="X65" s="34">
        <f>21</f>
        <v>21</v>
      </c>
    </row>
    <row r="66" spans="1:24">
      <c r="A66" s="25" t="s">
        <v>1167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10</v>
      </c>
      <c r="K66" s="31">
        <f>1867</f>
        <v>1867</v>
      </c>
      <c r="L66" s="32" t="s">
        <v>1110</v>
      </c>
      <c r="M66" s="31">
        <f>1897.5</f>
        <v>1897.5</v>
      </c>
      <c r="N66" s="32" t="s">
        <v>1115</v>
      </c>
      <c r="O66" s="31">
        <f>1779</f>
        <v>1779</v>
      </c>
      <c r="P66" s="32" t="s">
        <v>777</v>
      </c>
      <c r="Q66" s="31">
        <f>1804</f>
        <v>1804</v>
      </c>
      <c r="R66" s="32" t="s">
        <v>681</v>
      </c>
      <c r="S66" s="33">
        <f>1848.17</f>
        <v>1848.17</v>
      </c>
      <c r="T66" s="30">
        <f>6957030</f>
        <v>6957030</v>
      </c>
      <c r="U66" s="30">
        <f>3627950</f>
        <v>3627950</v>
      </c>
      <c r="V66" s="30">
        <f>12855305390</f>
        <v>12855305390</v>
      </c>
      <c r="W66" s="30">
        <f>6701380550</f>
        <v>6701380550</v>
      </c>
      <c r="X66" s="34">
        <f>21</f>
        <v>21</v>
      </c>
    </row>
    <row r="67" spans="1:24">
      <c r="A67" s="25" t="s">
        <v>1167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2306</f>
        <v>2306</v>
      </c>
      <c r="L67" s="32" t="s">
        <v>1110</v>
      </c>
      <c r="M67" s="31">
        <f>2411</f>
        <v>2411</v>
      </c>
      <c r="N67" s="32" t="s">
        <v>883</v>
      </c>
      <c r="O67" s="31">
        <f>2272</f>
        <v>2272</v>
      </c>
      <c r="P67" s="32" t="s">
        <v>1113</v>
      </c>
      <c r="Q67" s="31">
        <f>2407</f>
        <v>2407</v>
      </c>
      <c r="R67" s="32" t="s">
        <v>681</v>
      </c>
      <c r="S67" s="33">
        <f>2336.9</f>
        <v>2336.9</v>
      </c>
      <c r="T67" s="30">
        <f>16047332</f>
        <v>16047332</v>
      </c>
      <c r="U67" s="30">
        <f>3328692</f>
        <v>3328692</v>
      </c>
      <c r="V67" s="30">
        <f>37449136410</f>
        <v>37449136410</v>
      </c>
      <c r="W67" s="30">
        <f>7757117994</f>
        <v>7757117994</v>
      </c>
      <c r="X67" s="34">
        <f>21</f>
        <v>21</v>
      </c>
    </row>
    <row r="68" spans="1:24">
      <c r="A68" s="25" t="s">
        <v>1167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 t="str">
        <f>"－"</f>
        <v>－</v>
      </c>
      <c r="L68" s="32"/>
      <c r="M68" s="31" t="str">
        <f>"－"</f>
        <v>－</v>
      </c>
      <c r="N68" s="32"/>
      <c r="O68" s="31" t="str">
        <f>"－"</f>
        <v>－</v>
      </c>
      <c r="P68" s="32"/>
      <c r="Q68" s="31" t="str">
        <f>"－"</f>
        <v>－</v>
      </c>
      <c r="R68" s="32"/>
      <c r="S68" s="33" t="str">
        <f t="shared" ref="S68:X68" si="0">"－"</f>
        <v>－</v>
      </c>
      <c r="T68" s="30" t="str">
        <f t="shared" si="0"/>
        <v>－</v>
      </c>
      <c r="U68" s="30" t="str">
        <f t="shared" si="0"/>
        <v>－</v>
      </c>
      <c r="V68" s="30" t="str">
        <f t="shared" si="0"/>
        <v>－</v>
      </c>
      <c r="W68" s="30" t="str">
        <f t="shared" si="0"/>
        <v>－</v>
      </c>
      <c r="X68" s="34" t="str">
        <f t="shared" si="0"/>
        <v>－</v>
      </c>
    </row>
    <row r="69" spans="1:24">
      <c r="A69" s="25" t="s">
        <v>1167</v>
      </c>
      <c r="B69" s="25" t="s">
        <v>195</v>
      </c>
      <c r="C69" s="25" t="s">
        <v>196</v>
      </c>
      <c r="D69" s="25" t="s">
        <v>197</v>
      </c>
      <c r="E69" s="26" t="s">
        <v>43</v>
      </c>
      <c r="F69" s="27" t="s">
        <v>43</v>
      </c>
      <c r="G69" s="28" t="s">
        <v>43</v>
      </c>
      <c r="H69" s="29"/>
      <c r="I69" s="29" t="s">
        <v>44</v>
      </c>
      <c r="J69" s="30">
        <v>1</v>
      </c>
      <c r="K69" s="31">
        <f>19425</f>
        <v>19425</v>
      </c>
      <c r="L69" s="32" t="s">
        <v>1110</v>
      </c>
      <c r="M69" s="31">
        <f>20130</f>
        <v>20130</v>
      </c>
      <c r="N69" s="32" t="s">
        <v>1123</v>
      </c>
      <c r="O69" s="31">
        <f>19150</f>
        <v>19150</v>
      </c>
      <c r="P69" s="32" t="s">
        <v>777</v>
      </c>
      <c r="Q69" s="31">
        <f>19710</f>
        <v>19710</v>
      </c>
      <c r="R69" s="32" t="s">
        <v>681</v>
      </c>
      <c r="S69" s="33">
        <f>19714.29</f>
        <v>19714.29</v>
      </c>
      <c r="T69" s="30">
        <f>3020</f>
        <v>3020</v>
      </c>
      <c r="U69" s="30" t="str">
        <f>"－"</f>
        <v>－</v>
      </c>
      <c r="V69" s="30">
        <f>59576455</f>
        <v>59576455</v>
      </c>
      <c r="W69" s="30" t="str">
        <f>"－"</f>
        <v>－</v>
      </c>
      <c r="X69" s="34">
        <f>21</f>
        <v>21</v>
      </c>
    </row>
    <row r="70" spans="1:24">
      <c r="A70" s="25" t="s">
        <v>1167</v>
      </c>
      <c r="B70" s="25" t="s">
        <v>198</v>
      </c>
      <c r="C70" s="25" t="s">
        <v>199</v>
      </c>
      <c r="D70" s="25" t="s">
        <v>200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30550</f>
        <v>30550</v>
      </c>
      <c r="L70" s="32" t="s">
        <v>1110</v>
      </c>
      <c r="M70" s="31">
        <f>31120</f>
        <v>31120</v>
      </c>
      <c r="N70" s="32" t="s">
        <v>1112</v>
      </c>
      <c r="O70" s="31">
        <f>30000</f>
        <v>30000</v>
      </c>
      <c r="P70" s="32" t="s">
        <v>777</v>
      </c>
      <c r="Q70" s="31">
        <f>31090</f>
        <v>31090</v>
      </c>
      <c r="R70" s="32" t="s">
        <v>681</v>
      </c>
      <c r="S70" s="33">
        <f>30605.71</f>
        <v>30605.71</v>
      </c>
      <c r="T70" s="30">
        <f>18446</f>
        <v>18446</v>
      </c>
      <c r="U70" s="30">
        <f>1126</f>
        <v>1126</v>
      </c>
      <c r="V70" s="30">
        <f>563257640</f>
        <v>563257640</v>
      </c>
      <c r="W70" s="30">
        <f>34651060</f>
        <v>34651060</v>
      </c>
      <c r="X70" s="34">
        <f>21</f>
        <v>21</v>
      </c>
    </row>
    <row r="71" spans="1:24">
      <c r="A71" s="25" t="s">
        <v>1167</v>
      </c>
      <c r="B71" s="25" t="s">
        <v>201</v>
      </c>
      <c r="C71" s="25" t="s">
        <v>202</v>
      </c>
      <c r="D71" s="25" t="s">
        <v>203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10</v>
      </c>
      <c r="K71" s="31">
        <f>10055</f>
        <v>10055</v>
      </c>
      <c r="L71" s="32" t="s">
        <v>1110</v>
      </c>
      <c r="M71" s="31">
        <f>10370</f>
        <v>10370</v>
      </c>
      <c r="N71" s="32" t="s">
        <v>1112</v>
      </c>
      <c r="O71" s="31">
        <f>9996</f>
        <v>9996</v>
      </c>
      <c r="P71" s="32" t="s">
        <v>1113</v>
      </c>
      <c r="Q71" s="31">
        <f>10200</f>
        <v>10200</v>
      </c>
      <c r="R71" s="32" t="s">
        <v>681</v>
      </c>
      <c r="S71" s="33">
        <f>10166.43</f>
        <v>10166.43</v>
      </c>
      <c r="T71" s="30">
        <f>11860</f>
        <v>11860</v>
      </c>
      <c r="U71" s="30">
        <f>100</f>
        <v>100</v>
      </c>
      <c r="V71" s="30">
        <f>120191990</f>
        <v>120191990</v>
      </c>
      <c r="W71" s="30">
        <f>1012650</f>
        <v>1012650</v>
      </c>
      <c r="X71" s="34">
        <f>21</f>
        <v>21</v>
      </c>
    </row>
    <row r="72" spans="1:24">
      <c r="A72" s="25" t="s">
        <v>1167</v>
      </c>
      <c r="B72" s="25" t="s">
        <v>204</v>
      </c>
      <c r="C72" s="25" t="s">
        <v>205</v>
      </c>
      <c r="D72" s="25" t="s">
        <v>206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</v>
      </c>
      <c r="K72" s="31">
        <f>1796</f>
        <v>1796</v>
      </c>
      <c r="L72" s="32" t="s">
        <v>1110</v>
      </c>
      <c r="M72" s="31">
        <f>1843</f>
        <v>1843</v>
      </c>
      <c r="N72" s="32" t="s">
        <v>760</v>
      </c>
      <c r="O72" s="31">
        <f>1789</f>
        <v>1789</v>
      </c>
      <c r="P72" s="32" t="s">
        <v>1110</v>
      </c>
      <c r="Q72" s="31">
        <f>1812</f>
        <v>1812</v>
      </c>
      <c r="R72" s="32" t="s">
        <v>681</v>
      </c>
      <c r="S72" s="33">
        <f>1819.67</f>
        <v>1819.67</v>
      </c>
      <c r="T72" s="30">
        <f>967343</f>
        <v>967343</v>
      </c>
      <c r="U72" s="30">
        <f>552381</f>
        <v>552381</v>
      </c>
      <c r="V72" s="30">
        <f>1760506994</f>
        <v>1760506994</v>
      </c>
      <c r="W72" s="30">
        <f>1007453262</f>
        <v>1007453262</v>
      </c>
      <c r="X72" s="34">
        <f>21</f>
        <v>21</v>
      </c>
    </row>
    <row r="73" spans="1:24">
      <c r="A73" s="25" t="s">
        <v>1167</v>
      </c>
      <c r="B73" s="25" t="s">
        <v>207</v>
      </c>
      <c r="C73" s="25" t="s">
        <v>208</v>
      </c>
      <c r="D73" s="25" t="s">
        <v>209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1843</f>
        <v>1843</v>
      </c>
      <c r="L73" s="32" t="s">
        <v>1110</v>
      </c>
      <c r="M73" s="31">
        <f>1869</f>
        <v>1869</v>
      </c>
      <c r="N73" s="32" t="s">
        <v>760</v>
      </c>
      <c r="O73" s="31">
        <f>1832</f>
        <v>1832</v>
      </c>
      <c r="P73" s="32" t="s">
        <v>1110</v>
      </c>
      <c r="Q73" s="31">
        <f>1848</f>
        <v>1848</v>
      </c>
      <c r="R73" s="32" t="s">
        <v>681</v>
      </c>
      <c r="S73" s="33">
        <f>1855.57</f>
        <v>1855.57</v>
      </c>
      <c r="T73" s="30">
        <f>341561</f>
        <v>341561</v>
      </c>
      <c r="U73" s="30">
        <f>300</f>
        <v>300</v>
      </c>
      <c r="V73" s="30">
        <f>633098837</f>
        <v>633098837</v>
      </c>
      <c r="W73" s="30">
        <f>558000</f>
        <v>558000</v>
      </c>
      <c r="X73" s="34">
        <f>21</f>
        <v>21</v>
      </c>
    </row>
    <row r="74" spans="1:24">
      <c r="A74" s="25" t="s">
        <v>1167</v>
      </c>
      <c r="B74" s="25" t="s">
        <v>210</v>
      </c>
      <c r="C74" s="25" t="s">
        <v>211</v>
      </c>
      <c r="D74" s="25" t="s">
        <v>212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21930</f>
        <v>21930</v>
      </c>
      <c r="L74" s="32" t="s">
        <v>1110</v>
      </c>
      <c r="M74" s="31">
        <f>22305</f>
        <v>22305</v>
      </c>
      <c r="N74" s="32" t="s">
        <v>1118</v>
      </c>
      <c r="O74" s="31">
        <f>21715</f>
        <v>21715</v>
      </c>
      <c r="P74" s="32" t="s">
        <v>1123</v>
      </c>
      <c r="Q74" s="31">
        <f>22170</f>
        <v>22170</v>
      </c>
      <c r="R74" s="32" t="s">
        <v>681</v>
      </c>
      <c r="S74" s="33">
        <f>21974.76</f>
        <v>21974.76</v>
      </c>
      <c r="T74" s="30">
        <f>37908</f>
        <v>37908</v>
      </c>
      <c r="U74" s="30">
        <f>24964</f>
        <v>24964</v>
      </c>
      <c r="V74" s="30">
        <f>832710317</f>
        <v>832710317</v>
      </c>
      <c r="W74" s="30">
        <f>549612107</f>
        <v>549612107</v>
      </c>
      <c r="X74" s="34">
        <f>21</f>
        <v>21</v>
      </c>
    </row>
    <row r="75" spans="1:24">
      <c r="A75" s="25" t="s">
        <v>1167</v>
      </c>
      <c r="B75" s="25" t="s">
        <v>213</v>
      </c>
      <c r="C75" s="25" t="s">
        <v>214</v>
      </c>
      <c r="D75" s="25" t="s">
        <v>215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9495</f>
        <v>9495</v>
      </c>
      <c r="L75" s="32" t="s">
        <v>1110</v>
      </c>
      <c r="M75" s="31">
        <f>9629</f>
        <v>9629</v>
      </c>
      <c r="N75" s="32" t="s">
        <v>682</v>
      </c>
      <c r="O75" s="31">
        <f>9425</f>
        <v>9425</v>
      </c>
      <c r="P75" s="32" t="s">
        <v>682</v>
      </c>
      <c r="Q75" s="31">
        <f>9550</f>
        <v>9550</v>
      </c>
      <c r="R75" s="32" t="s">
        <v>681</v>
      </c>
      <c r="S75" s="33">
        <f>9519.86</f>
        <v>9519.86</v>
      </c>
      <c r="T75" s="30">
        <f>1936</f>
        <v>1936</v>
      </c>
      <c r="U75" s="30">
        <f>2</f>
        <v>2</v>
      </c>
      <c r="V75" s="30">
        <f>18432576</f>
        <v>18432576</v>
      </c>
      <c r="W75" s="30">
        <f>19024</f>
        <v>19024</v>
      </c>
      <c r="X75" s="34">
        <f>21</f>
        <v>21</v>
      </c>
    </row>
    <row r="76" spans="1:24">
      <c r="A76" s="25" t="s">
        <v>1167</v>
      </c>
      <c r="B76" s="25" t="s">
        <v>216</v>
      </c>
      <c r="C76" s="25" t="s">
        <v>217</v>
      </c>
      <c r="D76" s="25" t="s">
        <v>218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10955</f>
        <v>10955</v>
      </c>
      <c r="L76" s="32" t="s">
        <v>1110</v>
      </c>
      <c r="M76" s="31">
        <f>11590</f>
        <v>11590</v>
      </c>
      <c r="N76" s="32" t="s">
        <v>1118</v>
      </c>
      <c r="O76" s="31">
        <f>10855</f>
        <v>10855</v>
      </c>
      <c r="P76" s="32" t="s">
        <v>876</v>
      </c>
      <c r="Q76" s="31">
        <f>11205</f>
        <v>11205</v>
      </c>
      <c r="R76" s="32" t="s">
        <v>681</v>
      </c>
      <c r="S76" s="33">
        <f>11171.9</f>
        <v>11171.9</v>
      </c>
      <c r="T76" s="30">
        <f>3676091</f>
        <v>3676091</v>
      </c>
      <c r="U76" s="30">
        <f>865053</f>
        <v>865053</v>
      </c>
      <c r="V76" s="30">
        <f>41186339286</f>
        <v>41186339286</v>
      </c>
      <c r="W76" s="30">
        <f>9743319321</f>
        <v>9743319321</v>
      </c>
      <c r="X76" s="34">
        <f>21</f>
        <v>21</v>
      </c>
    </row>
    <row r="77" spans="1:24">
      <c r="A77" s="25" t="s">
        <v>1167</v>
      </c>
      <c r="B77" s="25" t="s">
        <v>219</v>
      </c>
      <c r="C77" s="25" t="s">
        <v>220</v>
      </c>
      <c r="D77" s="25" t="s">
        <v>221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4280</f>
        <v>4280</v>
      </c>
      <c r="L77" s="32" t="s">
        <v>1110</v>
      </c>
      <c r="M77" s="31">
        <f>5040</f>
        <v>5040</v>
      </c>
      <c r="N77" s="32" t="s">
        <v>1118</v>
      </c>
      <c r="O77" s="31">
        <f>4275</f>
        <v>4275</v>
      </c>
      <c r="P77" s="32" t="s">
        <v>1110</v>
      </c>
      <c r="Q77" s="31">
        <f>4790</f>
        <v>4790</v>
      </c>
      <c r="R77" s="32" t="s">
        <v>681</v>
      </c>
      <c r="S77" s="33">
        <f>4701.9</f>
        <v>4701.8999999999996</v>
      </c>
      <c r="T77" s="30">
        <f>799533</f>
        <v>799533</v>
      </c>
      <c r="U77" s="30">
        <f>157</f>
        <v>157</v>
      </c>
      <c r="V77" s="30">
        <f>3744825525</f>
        <v>3744825525</v>
      </c>
      <c r="W77" s="30">
        <f>745490</f>
        <v>745490</v>
      </c>
      <c r="X77" s="34">
        <f>21</f>
        <v>21</v>
      </c>
    </row>
    <row r="78" spans="1:24">
      <c r="A78" s="25" t="s">
        <v>1167</v>
      </c>
      <c r="B78" s="25" t="s">
        <v>222</v>
      </c>
      <c r="C78" s="25" t="s">
        <v>223</v>
      </c>
      <c r="D78" s="25" t="s">
        <v>224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12500</f>
        <v>12500</v>
      </c>
      <c r="L78" s="32" t="s">
        <v>1110</v>
      </c>
      <c r="M78" s="31">
        <f>15270</f>
        <v>15270</v>
      </c>
      <c r="N78" s="32" t="s">
        <v>883</v>
      </c>
      <c r="O78" s="31">
        <f>12500</f>
        <v>12500</v>
      </c>
      <c r="P78" s="32" t="s">
        <v>1110</v>
      </c>
      <c r="Q78" s="31">
        <f>14610</f>
        <v>14610</v>
      </c>
      <c r="R78" s="32" t="s">
        <v>681</v>
      </c>
      <c r="S78" s="33">
        <f>13880</f>
        <v>13880</v>
      </c>
      <c r="T78" s="30">
        <f>616577</f>
        <v>616577</v>
      </c>
      <c r="U78" s="30">
        <f>381</f>
        <v>381</v>
      </c>
      <c r="V78" s="30">
        <f>8717469075</f>
        <v>8717469075</v>
      </c>
      <c r="W78" s="30">
        <f>5470695</f>
        <v>5470695</v>
      </c>
      <c r="X78" s="34">
        <f>21</f>
        <v>21</v>
      </c>
    </row>
    <row r="79" spans="1:24">
      <c r="A79" s="25" t="s">
        <v>1167</v>
      </c>
      <c r="B79" s="25" t="s">
        <v>225</v>
      </c>
      <c r="C79" s="25" t="s">
        <v>226</v>
      </c>
      <c r="D79" s="25" t="s">
        <v>227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43760</f>
        <v>43760</v>
      </c>
      <c r="L79" s="32" t="s">
        <v>1110</v>
      </c>
      <c r="M79" s="31">
        <f>48500</f>
        <v>48500</v>
      </c>
      <c r="N79" s="32" t="s">
        <v>1112</v>
      </c>
      <c r="O79" s="31">
        <f>43000</f>
        <v>43000</v>
      </c>
      <c r="P79" s="32" t="s">
        <v>1116</v>
      </c>
      <c r="Q79" s="31">
        <f>44250</f>
        <v>44250</v>
      </c>
      <c r="R79" s="32" t="s">
        <v>681</v>
      </c>
      <c r="S79" s="33">
        <f>45145.71</f>
        <v>45145.71</v>
      </c>
      <c r="T79" s="30">
        <f>14876</f>
        <v>14876</v>
      </c>
      <c r="U79" s="30">
        <f>10</f>
        <v>10</v>
      </c>
      <c r="V79" s="30">
        <f>680228830</f>
        <v>680228830</v>
      </c>
      <c r="W79" s="30">
        <f>446610</f>
        <v>446610</v>
      </c>
      <c r="X79" s="34">
        <f>21</f>
        <v>21</v>
      </c>
    </row>
    <row r="80" spans="1:24">
      <c r="A80" s="25" t="s">
        <v>1167</v>
      </c>
      <c r="B80" s="25" t="s">
        <v>228</v>
      </c>
      <c r="C80" s="25" t="s">
        <v>779</v>
      </c>
      <c r="D80" s="25" t="s">
        <v>780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27805</f>
        <v>27805</v>
      </c>
      <c r="L80" s="32" t="s">
        <v>1110</v>
      </c>
      <c r="M80" s="31">
        <f>30120</f>
        <v>30120</v>
      </c>
      <c r="N80" s="32" t="s">
        <v>883</v>
      </c>
      <c r="O80" s="31">
        <f>27485</f>
        <v>27485</v>
      </c>
      <c r="P80" s="32" t="s">
        <v>1116</v>
      </c>
      <c r="Q80" s="31">
        <f>29385</f>
        <v>29385</v>
      </c>
      <c r="R80" s="32" t="s">
        <v>681</v>
      </c>
      <c r="S80" s="33">
        <f>29124.52</f>
        <v>29124.52</v>
      </c>
      <c r="T80" s="30">
        <f>1258112</f>
        <v>1258112</v>
      </c>
      <c r="U80" s="30">
        <f>46881</f>
        <v>46881</v>
      </c>
      <c r="V80" s="30">
        <f>36793592320</f>
        <v>36793592320</v>
      </c>
      <c r="W80" s="30">
        <f>1370593650</f>
        <v>1370593650</v>
      </c>
      <c r="X80" s="34">
        <f>21</f>
        <v>21</v>
      </c>
    </row>
    <row r="81" spans="1:24">
      <c r="A81" s="25" t="s">
        <v>1167</v>
      </c>
      <c r="B81" s="25" t="s">
        <v>229</v>
      </c>
      <c r="C81" s="25" t="s">
        <v>781</v>
      </c>
      <c r="D81" s="25" t="s">
        <v>782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58330</f>
        <v>58330</v>
      </c>
      <c r="L81" s="32" t="s">
        <v>1110</v>
      </c>
      <c r="M81" s="31">
        <f>61120</f>
        <v>61120</v>
      </c>
      <c r="N81" s="32" t="s">
        <v>1118</v>
      </c>
      <c r="O81" s="31">
        <f>57930</f>
        <v>57930</v>
      </c>
      <c r="P81" s="32" t="s">
        <v>1116</v>
      </c>
      <c r="Q81" s="31">
        <f>58670</f>
        <v>58670</v>
      </c>
      <c r="R81" s="32" t="s">
        <v>681</v>
      </c>
      <c r="S81" s="33">
        <f>59864.29</f>
        <v>59864.29</v>
      </c>
      <c r="T81" s="30">
        <f>85760</f>
        <v>85760</v>
      </c>
      <c r="U81" s="30">
        <f>12812</f>
        <v>12812</v>
      </c>
      <c r="V81" s="30">
        <f>5117227070</f>
        <v>5117227070</v>
      </c>
      <c r="W81" s="30">
        <f>764175000</f>
        <v>764175000</v>
      </c>
      <c r="X81" s="34">
        <f>21</f>
        <v>21</v>
      </c>
    </row>
    <row r="82" spans="1:24">
      <c r="A82" s="25" t="s">
        <v>1167</v>
      </c>
      <c r="B82" s="25" t="s">
        <v>230</v>
      </c>
      <c r="C82" s="25" t="s">
        <v>231</v>
      </c>
      <c r="D82" s="25" t="s">
        <v>232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10</v>
      </c>
      <c r="K82" s="31">
        <f>8627</f>
        <v>8627</v>
      </c>
      <c r="L82" s="32" t="s">
        <v>1110</v>
      </c>
      <c r="M82" s="31">
        <f>9120</f>
        <v>9120</v>
      </c>
      <c r="N82" s="32" t="s">
        <v>778</v>
      </c>
      <c r="O82" s="31">
        <f>8531</f>
        <v>8531</v>
      </c>
      <c r="P82" s="32" t="s">
        <v>1116</v>
      </c>
      <c r="Q82" s="31">
        <f>8919</f>
        <v>8919</v>
      </c>
      <c r="R82" s="32" t="s">
        <v>681</v>
      </c>
      <c r="S82" s="33">
        <f>8906.14</f>
        <v>8906.14</v>
      </c>
      <c r="T82" s="30">
        <f>931010</f>
        <v>931010</v>
      </c>
      <c r="U82" s="30">
        <f>177480</f>
        <v>177480</v>
      </c>
      <c r="V82" s="30">
        <f>8294061764</f>
        <v>8294061764</v>
      </c>
      <c r="W82" s="30">
        <f>1599165334</f>
        <v>1599165334</v>
      </c>
      <c r="X82" s="34">
        <f>21</f>
        <v>21</v>
      </c>
    </row>
    <row r="83" spans="1:24">
      <c r="A83" s="25" t="s">
        <v>1167</v>
      </c>
      <c r="B83" s="25" t="s">
        <v>233</v>
      </c>
      <c r="C83" s="25" t="s">
        <v>234</v>
      </c>
      <c r="D83" s="25" t="s">
        <v>235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5414</f>
        <v>5414</v>
      </c>
      <c r="L83" s="32" t="s">
        <v>1110</v>
      </c>
      <c r="M83" s="31">
        <f>5799</f>
        <v>5799</v>
      </c>
      <c r="N83" s="32" t="s">
        <v>778</v>
      </c>
      <c r="O83" s="31">
        <f>5355</f>
        <v>5355</v>
      </c>
      <c r="P83" s="32" t="s">
        <v>1116</v>
      </c>
      <c r="Q83" s="31">
        <f>5587</f>
        <v>5587</v>
      </c>
      <c r="R83" s="32" t="s">
        <v>681</v>
      </c>
      <c r="S83" s="33">
        <f>5626.67</f>
        <v>5626.67</v>
      </c>
      <c r="T83" s="30">
        <f>303730</f>
        <v>303730</v>
      </c>
      <c r="U83" s="30">
        <f>3050</f>
        <v>3050</v>
      </c>
      <c r="V83" s="30">
        <f>1713770282</f>
        <v>1713770282</v>
      </c>
      <c r="W83" s="30">
        <f>16825222</f>
        <v>16825222</v>
      </c>
      <c r="X83" s="34">
        <f>21</f>
        <v>21</v>
      </c>
    </row>
    <row r="84" spans="1:24">
      <c r="A84" s="25" t="s">
        <v>1167</v>
      </c>
      <c r="B84" s="25" t="s">
        <v>236</v>
      </c>
      <c r="C84" s="25" t="s">
        <v>854</v>
      </c>
      <c r="D84" s="25" t="s">
        <v>855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5033</f>
        <v>5033</v>
      </c>
      <c r="L84" s="32" t="s">
        <v>1110</v>
      </c>
      <c r="M84" s="31">
        <f>5083</f>
        <v>5083</v>
      </c>
      <c r="N84" s="32" t="s">
        <v>876</v>
      </c>
      <c r="O84" s="31">
        <f>4845</f>
        <v>4845</v>
      </c>
      <c r="P84" s="32" t="s">
        <v>777</v>
      </c>
      <c r="Q84" s="31">
        <f>4925</f>
        <v>4925</v>
      </c>
      <c r="R84" s="32" t="s">
        <v>681</v>
      </c>
      <c r="S84" s="33">
        <f>4969</f>
        <v>4969</v>
      </c>
      <c r="T84" s="30">
        <f>3960</f>
        <v>3960</v>
      </c>
      <c r="U84" s="30" t="str">
        <f>"－"</f>
        <v>－</v>
      </c>
      <c r="V84" s="30">
        <f>19759220</f>
        <v>19759220</v>
      </c>
      <c r="W84" s="30" t="str">
        <f>"－"</f>
        <v>－</v>
      </c>
      <c r="X84" s="34">
        <f>21</f>
        <v>21</v>
      </c>
    </row>
    <row r="85" spans="1:24">
      <c r="A85" s="25" t="s">
        <v>1167</v>
      </c>
      <c r="B85" s="25" t="s">
        <v>241</v>
      </c>
      <c r="C85" s="25" t="s">
        <v>242</v>
      </c>
      <c r="D85" s="25" t="s">
        <v>243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4450</f>
        <v>4450</v>
      </c>
      <c r="L85" s="32" t="s">
        <v>1110</v>
      </c>
      <c r="M85" s="31">
        <f>4700</f>
        <v>4700</v>
      </c>
      <c r="N85" s="32" t="s">
        <v>778</v>
      </c>
      <c r="O85" s="31">
        <f>4410</f>
        <v>4410</v>
      </c>
      <c r="P85" s="32" t="s">
        <v>1116</v>
      </c>
      <c r="Q85" s="31">
        <f>4616</f>
        <v>4616</v>
      </c>
      <c r="R85" s="32" t="s">
        <v>681</v>
      </c>
      <c r="S85" s="33">
        <f>4598.57</f>
        <v>4598.57</v>
      </c>
      <c r="T85" s="30">
        <f>79150</f>
        <v>79150</v>
      </c>
      <c r="U85" s="30">
        <f>10</f>
        <v>10</v>
      </c>
      <c r="V85" s="30">
        <f>363262750</f>
        <v>363262750</v>
      </c>
      <c r="W85" s="30">
        <f>45460</f>
        <v>45460</v>
      </c>
      <c r="X85" s="34">
        <f>21</f>
        <v>21</v>
      </c>
    </row>
    <row r="86" spans="1:24">
      <c r="A86" s="25" t="s">
        <v>1167</v>
      </c>
      <c r="B86" s="25" t="s">
        <v>244</v>
      </c>
      <c r="C86" s="25" t="s">
        <v>971</v>
      </c>
      <c r="D86" s="25" t="s">
        <v>245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2173.5</f>
        <v>2173.5</v>
      </c>
      <c r="L86" s="32" t="s">
        <v>1110</v>
      </c>
      <c r="M86" s="31">
        <f>2332.5</f>
        <v>2332.5</v>
      </c>
      <c r="N86" s="32" t="s">
        <v>760</v>
      </c>
      <c r="O86" s="31">
        <f>2147</f>
        <v>2147</v>
      </c>
      <c r="P86" s="32" t="s">
        <v>1110</v>
      </c>
      <c r="Q86" s="31">
        <f>2255</f>
        <v>2255</v>
      </c>
      <c r="R86" s="32" t="s">
        <v>681</v>
      </c>
      <c r="S86" s="33">
        <f>2260.1</f>
        <v>2260.1</v>
      </c>
      <c r="T86" s="30">
        <f>190170</f>
        <v>190170</v>
      </c>
      <c r="U86" s="30">
        <f>107220</f>
        <v>107220</v>
      </c>
      <c r="V86" s="30">
        <f>429261161</f>
        <v>429261161</v>
      </c>
      <c r="W86" s="30">
        <f>241182146</f>
        <v>241182146</v>
      </c>
      <c r="X86" s="34">
        <f>21</f>
        <v>21</v>
      </c>
    </row>
    <row r="87" spans="1:24">
      <c r="A87" s="25" t="s">
        <v>1167</v>
      </c>
      <c r="B87" s="25" t="s">
        <v>246</v>
      </c>
      <c r="C87" s="25" t="s">
        <v>247</v>
      </c>
      <c r="D87" s="25" t="s">
        <v>248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</v>
      </c>
      <c r="K87" s="31">
        <f>79120</f>
        <v>79120</v>
      </c>
      <c r="L87" s="32" t="s">
        <v>1110</v>
      </c>
      <c r="M87" s="31">
        <f>84500</f>
        <v>84500</v>
      </c>
      <c r="N87" s="32" t="s">
        <v>883</v>
      </c>
      <c r="O87" s="31">
        <f>78280</f>
        <v>78280</v>
      </c>
      <c r="P87" s="32" t="s">
        <v>1116</v>
      </c>
      <c r="Q87" s="31">
        <f>81870</f>
        <v>81870</v>
      </c>
      <c r="R87" s="32" t="s">
        <v>681</v>
      </c>
      <c r="S87" s="33">
        <f>81720</f>
        <v>81720</v>
      </c>
      <c r="T87" s="30">
        <f>84908</f>
        <v>84908</v>
      </c>
      <c r="U87" s="30">
        <f>262</f>
        <v>262</v>
      </c>
      <c r="V87" s="30">
        <f>6920743588</f>
        <v>6920743588</v>
      </c>
      <c r="W87" s="30">
        <f>21431678</f>
        <v>21431678</v>
      </c>
      <c r="X87" s="34">
        <f>21</f>
        <v>21</v>
      </c>
    </row>
    <row r="88" spans="1:24">
      <c r="A88" s="25" t="s">
        <v>1167</v>
      </c>
      <c r="B88" s="25" t="s">
        <v>249</v>
      </c>
      <c r="C88" s="25" t="s">
        <v>250</v>
      </c>
      <c r="D88" s="25" t="s">
        <v>251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3200</f>
        <v>3200</v>
      </c>
      <c r="L88" s="32" t="s">
        <v>1110</v>
      </c>
      <c r="M88" s="31">
        <f>3280</f>
        <v>3280</v>
      </c>
      <c r="N88" s="32" t="s">
        <v>1118</v>
      </c>
      <c r="O88" s="31">
        <f>3155</f>
        <v>3155</v>
      </c>
      <c r="P88" s="32" t="s">
        <v>1112</v>
      </c>
      <c r="Q88" s="31">
        <f>3195</f>
        <v>3195</v>
      </c>
      <c r="R88" s="32" t="s">
        <v>681</v>
      </c>
      <c r="S88" s="33">
        <f>3216.67</f>
        <v>3216.67</v>
      </c>
      <c r="T88" s="30">
        <f>6508</f>
        <v>6508</v>
      </c>
      <c r="U88" s="30" t="str">
        <f>"－"</f>
        <v>－</v>
      </c>
      <c r="V88" s="30">
        <f>20986575</f>
        <v>20986575</v>
      </c>
      <c r="W88" s="30" t="str">
        <f>"－"</f>
        <v>－</v>
      </c>
      <c r="X88" s="34">
        <f>21</f>
        <v>21</v>
      </c>
    </row>
    <row r="89" spans="1:24">
      <c r="A89" s="25" t="s">
        <v>1167</v>
      </c>
      <c r="B89" s="25" t="s">
        <v>252</v>
      </c>
      <c r="C89" s="25" t="s">
        <v>253</v>
      </c>
      <c r="D89" s="25" t="s">
        <v>254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4980</f>
        <v>4980</v>
      </c>
      <c r="L89" s="32" t="s">
        <v>1110</v>
      </c>
      <c r="M89" s="31">
        <f>5390</f>
        <v>5390</v>
      </c>
      <c r="N89" s="32" t="s">
        <v>1114</v>
      </c>
      <c r="O89" s="31">
        <f>4910</f>
        <v>4910</v>
      </c>
      <c r="P89" s="32" t="s">
        <v>1116</v>
      </c>
      <c r="Q89" s="31">
        <f>5280</f>
        <v>5280</v>
      </c>
      <c r="R89" s="32" t="s">
        <v>681</v>
      </c>
      <c r="S89" s="33">
        <f>5171.9</f>
        <v>5171.8999999999996</v>
      </c>
      <c r="T89" s="30">
        <f>11770</f>
        <v>11770</v>
      </c>
      <c r="U89" s="30" t="str">
        <f>"－"</f>
        <v>－</v>
      </c>
      <c r="V89" s="30">
        <f>60538750</f>
        <v>60538750</v>
      </c>
      <c r="W89" s="30" t="str">
        <f>"－"</f>
        <v>－</v>
      </c>
      <c r="X89" s="34">
        <f>21</f>
        <v>21</v>
      </c>
    </row>
    <row r="90" spans="1:24">
      <c r="A90" s="25" t="s">
        <v>1167</v>
      </c>
      <c r="B90" s="25" t="s">
        <v>255</v>
      </c>
      <c r="C90" s="25" t="s">
        <v>856</v>
      </c>
      <c r="D90" s="25" t="s">
        <v>857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2160</f>
        <v>2160</v>
      </c>
      <c r="L90" s="32" t="s">
        <v>1110</v>
      </c>
      <c r="M90" s="31">
        <f>2275</f>
        <v>2275</v>
      </c>
      <c r="N90" s="32" t="s">
        <v>875</v>
      </c>
      <c r="O90" s="31">
        <f>1950</f>
        <v>1950</v>
      </c>
      <c r="P90" s="32" t="s">
        <v>777</v>
      </c>
      <c r="Q90" s="31">
        <f>2073</f>
        <v>2073</v>
      </c>
      <c r="R90" s="32" t="s">
        <v>681</v>
      </c>
      <c r="S90" s="33">
        <f>2143.14</f>
        <v>2143.14</v>
      </c>
      <c r="T90" s="30">
        <f>2282058</f>
        <v>2282058</v>
      </c>
      <c r="U90" s="30">
        <f>104133</f>
        <v>104133</v>
      </c>
      <c r="V90" s="30">
        <f>4860066538</f>
        <v>4860066538</v>
      </c>
      <c r="W90" s="30">
        <f>223939078</f>
        <v>223939078</v>
      </c>
      <c r="X90" s="34">
        <f>21</f>
        <v>21</v>
      </c>
    </row>
    <row r="91" spans="1:24">
      <c r="A91" s="25" t="s">
        <v>1167</v>
      </c>
      <c r="B91" s="25" t="s">
        <v>256</v>
      </c>
      <c r="C91" s="25" t="s">
        <v>257</v>
      </c>
      <c r="D91" s="25" t="s">
        <v>258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50280</f>
        <v>50280</v>
      </c>
      <c r="L91" s="32" t="s">
        <v>1110</v>
      </c>
      <c r="M91" s="31">
        <f>51000</f>
        <v>51000</v>
      </c>
      <c r="N91" s="32" t="s">
        <v>874</v>
      </c>
      <c r="O91" s="31">
        <f>49700</f>
        <v>49700</v>
      </c>
      <c r="P91" s="32" t="s">
        <v>1116</v>
      </c>
      <c r="Q91" s="31">
        <f>50260</f>
        <v>50260</v>
      </c>
      <c r="R91" s="32" t="s">
        <v>681</v>
      </c>
      <c r="S91" s="33">
        <f>50403.81</f>
        <v>50403.81</v>
      </c>
      <c r="T91" s="30">
        <f>17556</f>
        <v>17556</v>
      </c>
      <c r="U91" s="30">
        <f>775</f>
        <v>775</v>
      </c>
      <c r="V91" s="30">
        <f>884124500</f>
        <v>884124500</v>
      </c>
      <c r="W91" s="30">
        <f>39120010</f>
        <v>39120010</v>
      </c>
      <c r="X91" s="34">
        <f>21</f>
        <v>21</v>
      </c>
    </row>
    <row r="92" spans="1:24">
      <c r="A92" s="25" t="s">
        <v>1167</v>
      </c>
      <c r="B92" s="25" t="s">
        <v>259</v>
      </c>
      <c r="C92" s="25" t="s">
        <v>260</v>
      </c>
      <c r="D92" s="25" t="s">
        <v>261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10</v>
      </c>
      <c r="K92" s="31">
        <f>48620</f>
        <v>48620</v>
      </c>
      <c r="L92" s="32" t="s">
        <v>1110</v>
      </c>
      <c r="M92" s="31">
        <f>50800</f>
        <v>50800</v>
      </c>
      <c r="N92" s="32" t="s">
        <v>1112</v>
      </c>
      <c r="O92" s="31">
        <f>47500</f>
        <v>47500</v>
      </c>
      <c r="P92" s="32" t="s">
        <v>777</v>
      </c>
      <c r="Q92" s="31">
        <f>50290</f>
        <v>50290</v>
      </c>
      <c r="R92" s="32" t="s">
        <v>681</v>
      </c>
      <c r="S92" s="33">
        <f>49154.29</f>
        <v>49154.29</v>
      </c>
      <c r="T92" s="30">
        <f>1858130</f>
        <v>1858130</v>
      </c>
      <c r="U92" s="30">
        <f>9170</f>
        <v>9170</v>
      </c>
      <c r="V92" s="30">
        <f>91103771025</f>
        <v>91103771025</v>
      </c>
      <c r="W92" s="30">
        <f>452224825</f>
        <v>452224825</v>
      </c>
      <c r="X92" s="34">
        <f>21</f>
        <v>21</v>
      </c>
    </row>
    <row r="93" spans="1:24">
      <c r="A93" s="25" t="s">
        <v>1167</v>
      </c>
      <c r="B93" s="25" t="s">
        <v>262</v>
      </c>
      <c r="C93" s="25" t="s">
        <v>263</v>
      </c>
      <c r="D93" s="25" t="s">
        <v>264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1332</f>
        <v>1332</v>
      </c>
      <c r="L93" s="32" t="s">
        <v>1110</v>
      </c>
      <c r="M93" s="31">
        <f>1342</f>
        <v>1342</v>
      </c>
      <c r="N93" s="32" t="s">
        <v>777</v>
      </c>
      <c r="O93" s="31">
        <f>1300</f>
        <v>1300</v>
      </c>
      <c r="P93" s="32" t="s">
        <v>1112</v>
      </c>
      <c r="Q93" s="31">
        <f>1304</f>
        <v>1304</v>
      </c>
      <c r="R93" s="32" t="s">
        <v>681</v>
      </c>
      <c r="S93" s="33">
        <f>1321.93</f>
        <v>1321.93</v>
      </c>
      <c r="T93" s="30">
        <f>683010</f>
        <v>683010</v>
      </c>
      <c r="U93" s="30">
        <f>1680</f>
        <v>1680</v>
      </c>
      <c r="V93" s="30">
        <f>903374090</f>
        <v>903374090</v>
      </c>
      <c r="W93" s="30">
        <f>2225970</f>
        <v>2225970</v>
      </c>
      <c r="X93" s="34">
        <f>21</f>
        <v>21</v>
      </c>
    </row>
    <row r="94" spans="1:24">
      <c r="A94" s="25" t="s">
        <v>1167</v>
      </c>
      <c r="B94" s="25" t="s">
        <v>265</v>
      </c>
      <c r="C94" s="25" t="s">
        <v>266</v>
      </c>
      <c r="D94" s="25" t="s">
        <v>267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</v>
      </c>
      <c r="K94" s="31">
        <f>27270</f>
        <v>27270</v>
      </c>
      <c r="L94" s="32" t="s">
        <v>1110</v>
      </c>
      <c r="M94" s="31">
        <f>29220</f>
        <v>29220</v>
      </c>
      <c r="N94" s="32" t="s">
        <v>1118</v>
      </c>
      <c r="O94" s="31">
        <f>26540</f>
        <v>26540</v>
      </c>
      <c r="P94" s="32" t="s">
        <v>777</v>
      </c>
      <c r="Q94" s="31">
        <f>27810</f>
        <v>27810</v>
      </c>
      <c r="R94" s="32" t="s">
        <v>681</v>
      </c>
      <c r="S94" s="33">
        <f>27926.43</f>
        <v>27926.43</v>
      </c>
      <c r="T94" s="30">
        <f>99498267</f>
        <v>99498267</v>
      </c>
      <c r="U94" s="30">
        <f>508543</f>
        <v>508543</v>
      </c>
      <c r="V94" s="30">
        <f>2779131085471</f>
        <v>2779131085471</v>
      </c>
      <c r="W94" s="30">
        <f>14227442341</f>
        <v>14227442341</v>
      </c>
      <c r="X94" s="34">
        <f>21</f>
        <v>21</v>
      </c>
    </row>
    <row r="95" spans="1:24">
      <c r="A95" s="25" t="s">
        <v>1167</v>
      </c>
      <c r="B95" s="25" t="s">
        <v>268</v>
      </c>
      <c r="C95" s="25" t="s">
        <v>269</v>
      </c>
      <c r="D95" s="25" t="s">
        <v>270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639</f>
        <v>639</v>
      </c>
      <c r="L95" s="32" t="s">
        <v>1110</v>
      </c>
      <c r="M95" s="31">
        <f>645</f>
        <v>645</v>
      </c>
      <c r="N95" s="32" t="s">
        <v>777</v>
      </c>
      <c r="O95" s="31">
        <f>615</f>
        <v>615</v>
      </c>
      <c r="P95" s="32" t="s">
        <v>1118</v>
      </c>
      <c r="Q95" s="31">
        <f>629</f>
        <v>629</v>
      </c>
      <c r="R95" s="32" t="s">
        <v>681</v>
      </c>
      <c r="S95" s="33">
        <f>629.57</f>
        <v>629.57000000000005</v>
      </c>
      <c r="T95" s="30">
        <f>57254897</f>
        <v>57254897</v>
      </c>
      <c r="U95" s="30">
        <f>211352</f>
        <v>211352</v>
      </c>
      <c r="V95" s="30">
        <f>36024577141</f>
        <v>36024577141</v>
      </c>
      <c r="W95" s="30">
        <f>133117674</f>
        <v>133117674</v>
      </c>
      <c r="X95" s="34">
        <f>21</f>
        <v>21</v>
      </c>
    </row>
    <row r="96" spans="1:24">
      <c r="A96" s="25" t="s">
        <v>1167</v>
      </c>
      <c r="B96" s="25" t="s">
        <v>271</v>
      </c>
      <c r="C96" s="25" t="s">
        <v>272</v>
      </c>
      <c r="D96" s="25" t="s">
        <v>273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10</v>
      </c>
      <c r="K96" s="31">
        <f>4223</f>
        <v>4223</v>
      </c>
      <c r="L96" s="32" t="s">
        <v>1110</v>
      </c>
      <c r="M96" s="31">
        <f>5298</f>
        <v>5298</v>
      </c>
      <c r="N96" s="32" t="s">
        <v>1118</v>
      </c>
      <c r="O96" s="31">
        <f>4105</f>
        <v>4105</v>
      </c>
      <c r="P96" s="32" t="s">
        <v>1110</v>
      </c>
      <c r="Q96" s="31">
        <f>4611</f>
        <v>4611</v>
      </c>
      <c r="R96" s="32" t="s">
        <v>681</v>
      </c>
      <c r="S96" s="33">
        <f>4797.24</f>
        <v>4797.24</v>
      </c>
      <c r="T96" s="30">
        <f>809980</f>
        <v>809980</v>
      </c>
      <c r="U96" s="30" t="str">
        <f>"－"</f>
        <v>－</v>
      </c>
      <c r="V96" s="30">
        <f>3883076420</f>
        <v>3883076420</v>
      </c>
      <c r="W96" s="30" t="str">
        <f>"－"</f>
        <v>－</v>
      </c>
      <c r="X96" s="34">
        <f>21</f>
        <v>21</v>
      </c>
    </row>
    <row r="97" spans="1:24">
      <c r="A97" s="25" t="s">
        <v>1167</v>
      </c>
      <c r="B97" s="25" t="s">
        <v>274</v>
      </c>
      <c r="C97" s="25" t="s">
        <v>275</v>
      </c>
      <c r="D97" s="25" t="s">
        <v>276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12600</f>
        <v>12600</v>
      </c>
      <c r="L97" s="32" t="s">
        <v>1110</v>
      </c>
      <c r="M97" s="31">
        <f>12805</f>
        <v>12805</v>
      </c>
      <c r="N97" s="32" t="s">
        <v>1110</v>
      </c>
      <c r="O97" s="31">
        <f>11055</f>
        <v>11055</v>
      </c>
      <c r="P97" s="32" t="s">
        <v>1118</v>
      </c>
      <c r="Q97" s="31">
        <f>12085</f>
        <v>12085</v>
      </c>
      <c r="R97" s="32" t="s">
        <v>681</v>
      </c>
      <c r="S97" s="33">
        <f>11755.48</f>
        <v>11755.48</v>
      </c>
      <c r="T97" s="30">
        <f>51430</f>
        <v>51430</v>
      </c>
      <c r="U97" s="30">
        <f>190</f>
        <v>190</v>
      </c>
      <c r="V97" s="30">
        <f>604606850</f>
        <v>604606850</v>
      </c>
      <c r="W97" s="30">
        <f>2190450</f>
        <v>2190450</v>
      </c>
      <c r="X97" s="34">
        <f>21</f>
        <v>21</v>
      </c>
    </row>
    <row r="98" spans="1:24">
      <c r="A98" s="25" t="s">
        <v>1167</v>
      </c>
      <c r="B98" s="25" t="s">
        <v>277</v>
      </c>
      <c r="C98" s="25" t="s">
        <v>278</v>
      </c>
      <c r="D98" s="25" t="s">
        <v>972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</v>
      </c>
      <c r="K98" s="31">
        <f>37560</f>
        <v>37560</v>
      </c>
      <c r="L98" s="32" t="s">
        <v>1110</v>
      </c>
      <c r="M98" s="31">
        <f>38470</f>
        <v>38470</v>
      </c>
      <c r="N98" s="32" t="s">
        <v>681</v>
      </c>
      <c r="O98" s="31">
        <f>37020</f>
        <v>37020</v>
      </c>
      <c r="P98" s="32" t="s">
        <v>1113</v>
      </c>
      <c r="Q98" s="31">
        <f>38470</f>
        <v>38470</v>
      </c>
      <c r="R98" s="32" t="s">
        <v>681</v>
      </c>
      <c r="S98" s="33">
        <f>37769.05</f>
        <v>37769.050000000003</v>
      </c>
      <c r="T98" s="30">
        <f>87620</f>
        <v>87620</v>
      </c>
      <c r="U98" s="30">
        <f>25536</f>
        <v>25536</v>
      </c>
      <c r="V98" s="30">
        <f>3305151913</f>
        <v>3305151913</v>
      </c>
      <c r="W98" s="30">
        <f>962300623</f>
        <v>962300623</v>
      </c>
      <c r="X98" s="34">
        <f>21</f>
        <v>21</v>
      </c>
    </row>
    <row r="99" spans="1:24">
      <c r="A99" s="25" t="s">
        <v>1167</v>
      </c>
      <c r="B99" s="25" t="s">
        <v>279</v>
      </c>
      <c r="C99" s="25" t="s">
        <v>280</v>
      </c>
      <c r="D99" s="25" t="s">
        <v>281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3050</f>
        <v>3050</v>
      </c>
      <c r="L99" s="32" t="s">
        <v>1110</v>
      </c>
      <c r="M99" s="31">
        <f>3160</f>
        <v>3160</v>
      </c>
      <c r="N99" s="32" t="s">
        <v>1118</v>
      </c>
      <c r="O99" s="31">
        <f>3020</f>
        <v>3020</v>
      </c>
      <c r="P99" s="32" t="s">
        <v>777</v>
      </c>
      <c r="Q99" s="31">
        <f>3095</f>
        <v>3095</v>
      </c>
      <c r="R99" s="32" t="s">
        <v>681</v>
      </c>
      <c r="S99" s="33">
        <f>3093.33</f>
        <v>3093.33</v>
      </c>
      <c r="T99" s="30">
        <f>110521</f>
        <v>110521</v>
      </c>
      <c r="U99" s="30">
        <f>1123</f>
        <v>1123</v>
      </c>
      <c r="V99" s="30">
        <f>340776240</f>
        <v>340776240</v>
      </c>
      <c r="W99" s="30">
        <f>3475750</f>
        <v>3475750</v>
      </c>
      <c r="X99" s="34">
        <f>21</f>
        <v>21</v>
      </c>
    </row>
    <row r="100" spans="1:24">
      <c r="A100" s="25" t="s">
        <v>1167</v>
      </c>
      <c r="B100" s="25" t="s">
        <v>282</v>
      </c>
      <c r="C100" s="25" t="s">
        <v>283</v>
      </c>
      <c r="D100" s="25" t="s">
        <v>284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10</v>
      </c>
      <c r="K100" s="31">
        <f>29155</f>
        <v>29155</v>
      </c>
      <c r="L100" s="32" t="s">
        <v>1110</v>
      </c>
      <c r="M100" s="31">
        <f>31240</f>
        <v>31240</v>
      </c>
      <c r="N100" s="32" t="s">
        <v>1118</v>
      </c>
      <c r="O100" s="31">
        <f>28360</f>
        <v>28360</v>
      </c>
      <c r="P100" s="32" t="s">
        <v>777</v>
      </c>
      <c r="Q100" s="31">
        <f>29695</f>
        <v>29695</v>
      </c>
      <c r="R100" s="32" t="s">
        <v>681</v>
      </c>
      <c r="S100" s="33">
        <f>29837.86</f>
        <v>29837.86</v>
      </c>
      <c r="T100" s="30">
        <f>7319370</f>
        <v>7319370</v>
      </c>
      <c r="U100" s="30">
        <f>224010</f>
        <v>224010</v>
      </c>
      <c r="V100" s="30">
        <f>218275719571</f>
        <v>218275719571</v>
      </c>
      <c r="W100" s="30">
        <f>6689999121</f>
        <v>6689999121</v>
      </c>
      <c r="X100" s="34">
        <f>21</f>
        <v>21</v>
      </c>
    </row>
    <row r="101" spans="1:24">
      <c r="A101" s="25" t="s">
        <v>1167</v>
      </c>
      <c r="B101" s="25" t="s">
        <v>285</v>
      </c>
      <c r="C101" s="25" t="s">
        <v>286</v>
      </c>
      <c r="D101" s="25" t="s">
        <v>287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1693</f>
        <v>1693</v>
      </c>
      <c r="L101" s="32" t="s">
        <v>1110</v>
      </c>
      <c r="M101" s="31">
        <f>1708</f>
        <v>1708</v>
      </c>
      <c r="N101" s="32" t="s">
        <v>777</v>
      </c>
      <c r="O101" s="31">
        <f>1631</f>
        <v>1631</v>
      </c>
      <c r="P101" s="32" t="s">
        <v>1118</v>
      </c>
      <c r="Q101" s="31">
        <f>1670.5</f>
        <v>1670.5</v>
      </c>
      <c r="R101" s="32" t="s">
        <v>681</v>
      </c>
      <c r="S101" s="33">
        <f>1669.5</f>
        <v>1669.5</v>
      </c>
      <c r="T101" s="30">
        <f>2719660</f>
        <v>2719660</v>
      </c>
      <c r="U101" s="30">
        <f>256620</f>
        <v>256620</v>
      </c>
      <c r="V101" s="30">
        <f>4544950794</f>
        <v>4544950794</v>
      </c>
      <c r="W101" s="30">
        <f>428233694</f>
        <v>428233694</v>
      </c>
      <c r="X101" s="34">
        <f>21</f>
        <v>21</v>
      </c>
    </row>
    <row r="102" spans="1:24">
      <c r="A102" s="25" t="s">
        <v>1167</v>
      </c>
      <c r="B102" s="25" t="s">
        <v>288</v>
      </c>
      <c r="C102" s="25" t="s">
        <v>922</v>
      </c>
      <c r="D102" s="25" t="s">
        <v>923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1863</f>
        <v>1863</v>
      </c>
      <c r="L102" s="32" t="s">
        <v>1110</v>
      </c>
      <c r="M102" s="31">
        <f>1939</f>
        <v>1939</v>
      </c>
      <c r="N102" s="32" t="s">
        <v>1112</v>
      </c>
      <c r="O102" s="31">
        <f>1860</f>
        <v>1860</v>
      </c>
      <c r="P102" s="32" t="s">
        <v>681</v>
      </c>
      <c r="Q102" s="31">
        <f>1911</f>
        <v>1911</v>
      </c>
      <c r="R102" s="32" t="s">
        <v>681</v>
      </c>
      <c r="S102" s="33">
        <f>1908.6</f>
        <v>1908.6</v>
      </c>
      <c r="T102" s="30">
        <f>148440</f>
        <v>148440</v>
      </c>
      <c r="U102" s="30">
        <f>130120</f>
        <v>130120</v>
      </c>
      <c r="V102" s="30">
        <f>285629538</f>
        <v>285629538</v>
      </c>
      <c r="W102" s="30">
        <f>250721633</f>
        <v>250721633</v>
      </c>
      <c r="X102" s="34">
        <f>21</f>
        <v>21</v>
      </c>
    </row>
    <row r="103" spans="1:24">
      <c r="A103" s="25" t="s">
        <v>1167</v>
      </c>
      <c r="B103" s="25" t="s">
        <v>289</v>
      </c>
      <c r="C103" s="25" t="s">
        <v>290</v>
      </c>
      <c r="D103" s="25" t="s">
        <v>291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</v>
      </c>
      <c r="K103" s="31">
        <f>2214</f>
        <v>2214</v>
      </c>
      <c r="L103" s="32" t="s">
        <v>1110</v>
      </c>
      <c r="M103" s="31">
        <f>2260</f>
        <v>2260</v>
      </c>
      <c r="N103" s="32" t="s">
        <v>883</v>
      </c>
      <c r="O103" s="31">
        <f>2200</f>
        <v>2200</v>
      </c>
      <c r="P103" s="32" t="s">
        <v>1117</v>
      </c>
      <c r="Q103" s="31">
        <f>2227</f>
        <v>2227</v>
      </c>
      <c r="R103" s="32" t="s">
        <v>681</v>
      </c>
      <c r="S103" s="33">
        <f>2221.79</f>
        <v>2221.79</v>
      </c>
      <c r="T103" s="30">
        <f>2879</f>
        <v>2879</v>
      </c>
      <c r="U103" s="30">
        <f>6</f>
        <v>6</v>
      </c>
      <c r="V103" s="30">
        <f>6398127</f>
        <v>6398127</v>
      </c>
      <c r="W103" s="30">
        <f>13268</f>
        <v>13268</v>
      </c>
      <c r="X103" s="34">
        <f>19</f>
        <v>19</v>
      </c>
    </row>
    <row r="104" spans="1:24">
      <c r="A104" s="25" t="s">
        <v>1167</v>
      </c>
      <c r="B104" s="25" t="s">
        <v>292</v>
      </c>
      <c r="C104" s="25" t="s">
        <v>293</v>
      </c>
      <c r="D104" s="25" t="s">
        <v>294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24850</f>
        <v>24850</v>
      </c>
      <c r="L104" s="32" t="s">
        <v>1110</v>
      </c>
      <c r="M104" s="31">
        <f>25565</f>
        <v>25565</v>
      </c>
      <c r="N104" s="32" t="s">
        <v>874</v>
      </c>
      <c r="O104" s="31">
        <f>24515</f>
        <v>24515</v>
      </c>
      <c r="P104" s="32" t="s">
        <v>1113</v>
      </c>
      <c r="Q104" s="31">
        <f>25365</f>
        <v>25365</v>
      </c>
      <c r="R104" s="32" t="s">
        <v>681</v>
      </c>
      <c r="S104" s="33">
        <f>25040.48</f>
        <v>25040.48</v>
      </c>
      <c r="T104" s="30">
        <f>65689</f>
        <v>65689</v>
      </c>
      <c r="U104" s="30">
        <f>33502</f>
        <v>33502</v>
      </c>
      <c r="V104" s="30">
        <f>1650140069</f>
        <v>1650140069</v>
      </c>
      <c r="W104" s="30">
        <f>842127714</f>
        <v>842127714</v>
      </c>
      <c r="X104" s="34">
        <f>21</f>
        <v>21</v>
      </c>
    </row>
    <row r="105" spans="1:24">
      <c r="A105" s="25" t="s">
        <v>1167</v>
      </c>
      <c r="B105" s="25" t="s">
        <v>295</v>
      </c>
      <c r="C105" s="25" t="s">
        <v>296</v>
      </c>
      <c r="D105" s="25" t="s">
        <v>297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2291</f>
        <v>2291</v>
      </c>
      <c r="L105" s="32" t="s">
        <v>1110</v>
      </c>
      <c r="M105" s="31">
        <f>2355</f>
        <v>2355</v>
      </c>
      <c r="N105" s="32" t="s">
        <v>1112</v>
      </c>
      <c r="O105" s="31">
        <f>2278</f>
        <v>2278</v>
      </c>
      <c r="P105" s="32" t="s">
        <v>1113</v>
      </c>
      <c r="Q105" s="31">
        <f>2350</f>
        <v>2350</v>
      </c>
      <c r="R105" s="32" t="s">
        <v>681</v>
      </c>
      <c r="S105" s="33">
        <f>2313.14</f>
        <v>2313.14</v>
      </c>
      <c r="T105" s="30">
        <f>27518</f>
        <v>27518</v>
      </c>
      <c r="U105" s="30" t="str">
        <f>"－"</f>
        <v>－</v>
      </c>
      <c r="V105" s="30">
        <f>63668453</f>
        <v>63668453</v>
      </c>
      <c r="W105" s="30" t="str">
        <f>"－"</f>
        <v>－</v>
      </c>
      <c r="X105" s="34">
        <f>21</f>
        <v>21</v>
      </c>
    </row>
    <row r="106" spans="1:24">
      <c r="A106" s="25" t="s">
        <v>1167</v>
      </c>
      <c r="B106" s="25" t="s">
        <v>298</v>
      </c>
      <c r="C106" s="25" t="s">
        <v>299</v>
      </c>
      <c r="D106" s="25" t="s">
        <v>300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25640</f>
        <v>25640</v>
      </c>
      <c r="L106" s="32" t="s">
        <v>1110</v>
      </c>
      <c r="M106" s="31">
        <f>26360</f>
        <v>26360</v>
      </c>
      <c r="N106" s="32" t="s">
        <v>1118</v>
      </c>
      <c r="O106" s="31">
        <f>25495</f>
        <v>25495</v>
      </c>
      <c r="P106" s="32" t="s">
        <v>777</v>
      </c>
      <c r="Q106" s="31">
        <f>26200</f>
        <v>26200</v>
      </c>
      <c r="R106" s="32" t="s">
        <v>681</v>
      </c>
      <c r="S106" s="33">
        <f>25872.38</f>
        <v>25872.38</v>
      </c>
      <c r="T106" s="30">
        <f>42149</f>
        <v>42149</v>
      </c>
      <c r="U106" s="30">
        <f>33055</f>
        <v>33055</v>
      </c>
      <c r="V106" s="30">
        <f>1093757410</f>
        <v>1093757410</v>
      </c>
      <c r="W106" s="30">
        <f>857722390</f>
        <v>857722390</v>
      </c>
      <c r="X106" s="34">
        <f>21</f>
        <v>21</v>
      </c>
    </row>
    <row r="107" spans="1:24">
      <c r="A107" s="25" t="s">
        <v>1167</v>
      </c>
      <c r="B107" s="25" t="s">
        <v>301</v>
      </c>
      <c r="C107" s="25" t="s">
        <v>302</v>
      </c>
      <c r="D107" s="25" t="s">
        <v>303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10</v>
      </c>
      <c r="K107" s="31">
        <f>1839.5</f>
        <v>1839.5</v>
      </c>
      <c r="L107" s="32" t="s">
        <v>1110</v>
      </c>
      <c r="M107" s="31">
        <f>1874.5</f>
        <v>1874.5</v>
      </c>
      <c r="N107" s="32" t="s">
        <v>1113</v>
      </c>
      <c r="O107" s="31">
        <f>1754</f>
        <v>1754</v>
      </c>
      <c r="P107" s="32" t="s">
        <v>777</v>
      </c>
      <c r="Q107" s="31">
        <f>1778</f>
        <v>1778</v>
      </c>
      <c r="R107" s="32" t="s">
        <v>681</v>
      </c>
      <c r="S107" s="33">
        <f>1823.45</f>
        <v>1823.45</v>
      </c>
      <c r="T107" s="30">
        <f>2260000</f>
        <v>2260000</v>
      </c>
      <c r="U107" s="30">
        <f>1700770</f>
        <v>1700770</v>
      </c>
      <c r="V107" s="30">
        <f>4062159684</f>
        <v>4062159684</v>
      </c>
      <c r="W107" s="30">
        <f>3046231984</f>
        <v>3046231984</v>
      </c>
      <c r="X107" s="34">
        <f>21</f>
        <v>21</v>
      </c>
    </row>
    <row r="108" spans="1:24">
      <c r="A108" s="25" t="s">
        <v>1167</v>
      </c>
      <c r="B108" s="25" t="s">
        <v>304</v>
      </c>
      <c r="C108" s="25" t="s">
        <v>305</v>
      </c>
      <c r="D108" s="25" t="s">
        <v>306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2290</f>
        <v>2290</v>
      </c>
      <c r="L108" s="32" t="s">
        <v>1115</v>
      </c>
      <c r="M108" s="31">
        <f>2290</f>
        <v>2290</v>
      </c>
      <c r="N108" s="32" t="s">
        <v>1115</v>
      </c>
      <c r="O108" s="31">
        <f>2214</f>
        <v>2214</v>
      </c>
      <c r="P108" s="32" t="s">
        <v>875</v>
      </c>
      <c r="Q108" s="31">
        <f>2269</f>
        <v>2269</v>
      </c>
      <c r="R108" s="32" t="s">
        <v>883</v>
      </c>
      <c r="S108" s="33">
        <f>2268</f>
        <v>2268</v>
      </c>
      <c r="T108" s="30">
        <f>4300</f>
        <v>4300</v>
      </c>
      <c r="U108" s="30" t="str">
        <f>"－"</f>
        <v>－</v>
      </c>
      <c r="V108" s="30">
        <f>9738790</f>
        <v>9738790</v>
      </c>
      <c r="W108" s="30" t="str">
        <f>"－"</f>
        <v>－</v>
      </c>
      <c r="X108" s="34">
        <f>5</f>
        <v>5</v>
      </c>
    </row>
    <row r="109" spans="1:24">
      <c r="A109" s="25" t="s">
        <v>1167</v>
      </c>
      <c r="B109" s="25" t="s">
        <v>307</v>
      </c>
      <c r="C109" s="25" t="s">
        <v>308</v>
      </c>
      <c r="D109" s="25" t="s">
        <v>309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1859</f>
        <v>1859</v>
      </c>
      <c r="L109" s="32" t="s">
        <v>1110</v>
      </c>
      <c r="M109" s="31">
        <f>1889.5</f>
        <v>1889.5</v>
      </c>
      <c r="N109" s="32" t="s">
        <v>1113</v>
      </c>
      <c r="O109" s="31">
        <f>1772</f>
        <v>1772</v>
      </c>
      <c r="P109" s="32" t="s">
        <v>777</v>
      </c>
      <c r="Q109" s="31">
        <f>1791</f>
        <v>1791</v>
      </c>
      <c r="R109" s="32" t="s">
        <v>681</v>
      </c>
      <c r="S109" s="33">
        <f>1839.38</f>
        <v>1839.38</v>
      </c>
      <c r="T109" s="30">
        <f>4589340</f>
        <v>4589340</v>
      </c>
      <c r="U109" s="30">
        <f>2946560</f>
        <v>2946560</v>
      </c>
      <c r="V109" s="30">
        <f>8422801154</f>
        <v>8422801154</v>
      </c>
      <c r="W109" s="30">
        <f>5420558829</f>
        <v>5420558829</v>
      </c>
      <c r="X109" s="34">
        <f>21</f>
        <v>21</v>
      </c>
    </row>
    <row r="110" spans="1:24">
      <c r="A110" s="25" t="s">
        <v>1167</v>
      </c>
      <c r="B110" s="25" t="s">
        <v>310</v>
      </c>
      <c r="C110" s="25" t="s">
        <v>924</v>
      </c>
      <c r="D110" s="25" t="s">
        <v>925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</v>
      </c>
      <c r="K110" s="31">
        <f>25325</f>
        <v>25325</v>
      </c>
      <c r="L110" s="32" t="s">
        <v>1110</v>
      </c>
      <c r="M110" s="31">
        <f>26070</f>
        <v>26070</v>
      </c>
      <c r="N110" s="32" t="s">
        <v>874</v>
      </c>
      <c r="O110" s="31">
        <f>25200</f>
        <v>25200</v>
      </c>
      <c r="P110" s="32" t="s">
        <v>1113</v>
      </c>
      <c r="Q110" s="31">
        <f>25900</f>
        <v>25900</v>
      </c>
      <c r="R110" s="32" t="s">
        <v>681</v>
      </c>
      <c r="S110" s="33">
        <f>25548.75</f>
        <v>25548.75</v>
      </c>
      <c r="T110" s="30">
        <f>39994</f>
        <v>39994</v>
      </c>
      <c r="U110" s="30">
        <f>34000</f>
        <v>34000</v>
      </c>
      <c r="V110" s="30">
        <f>1026744125</f>
        <v>1026744125</v>
      </c>
      <c r="W110" s="30">
        <f>873834000</f>
        <v>873834000</v>
      </c>
      <c r="X110" s="34">
        <f>20</f>
        <v>20</v>
      </c>
    </row>
    <row r="111" spans="1:24">
      <c r="A111" s="25" t="s">
        <v>1167</v>
      </c>
      <c r="B111" s="25" t="s">
        <v>1143</v>
      </c>
      <c r="C111" s="25" t="s">
        <v>1142</v>
      </c>
      <c r="D111" s="25" t="s">
        <v>1141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514.5</f>
        <v>514.5</v>
      </c>
      <c r="L111" s="32" t="s">
        <v>1110</v>
      </c>
      <c r="M111" s="31">
        <f>528.9</f>
        <v>528.9</v>
      </c>
      <c r="N111" s="32" t="s">
        <v>1112</v>
      </c>
      <c r="O111" s="31">
        <f>506.6</f>
        <v>506.6</v>
      </c>
      <c r="P111" s="32" t="s">
        <v>759</v>
      </c>
      <c r="Q111" s="31">
        <f>522.1</f>
        <v>522.1</v>
      </c>
      <c r="R111" s="32" t="s">
        <v>681</v>
      </c>
      <c r="S111" s="33">
        <f>518.31</f>
        <v>518.30999999999995</v>
      </c>
      <c r="T111" s="30">
        <f>578720</f>
        <v>578720</v>
      </c>
      <c r="U111" s="30">
        <f>116010</f>
        <v>116010</v>
      </c>
      <c r="V111" s="30">
        <f>301177700</f>
        <v>301177700</v>
      </c>
      <c r="W111" s="30">
        <f>60094643</f>
        <v>60094643</v>
      </c>
      <c r="X111" s="34">
        <f>21</f>
        <v>21</v>
      </c>
    </row>
    <row r="112" spans="1:24">
      <c r="A112" s="25" t="s">
        <v>1167</v>
      </c>
      <c r="B112" s="25" t="s">
        <v>311</v>
      </c>
      <c r="C112" s="25" t="s">
        <v>312</v>
      </c>
      <c r="D112" s="25" t="s">
        <v>313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100</v>
      </c>
      <c r="K112" s="31">
        <f>334</f>
        <v>334</v>
      </c>
      <c r="L112" s="32" t="s">
        <v>1110</v>
      </c>
      <c r="M112" s="31">
        <f>361.5</f>
        <v>361.5</v>
      </c>
      <c r="N112" s="32" t="s">
        <v>681</v>
      </c>
      <c r="O112" s="31">
        <f>328.2</f>
        <v>328.2</v>
      </c>
      <c r="P112" s="32" t="s">
        <v>1115</v>
      </c>
      <c r="Q112" s="31">
        <f>361</f>
        <v>361</v>
      </c>
      <c r="R112" s="32" t="s">
        <v>681</v>
      </c>
      <c r="S112" s="33">
        <f>342.54</f>
        <v>342.54</v>
      </c>
      <c r="T112" s="30">
        <f>147783000</f>
        <v>147783000</v>
      </c>
      <c r="U112" s="30">
        <f>61205100</f>
        <v>61205100</v>
      </c>
      <c r="V112" s="30">
        <f>50993584234</f>
        <v>50993584234</v>
      </c>
      <c r="W112" s="30">
        <f>21237204794</f>
        <v>21237204794</v>
      </c>
      <c r="X112" s="34">
        <f>21</f>
        <v>21</v>
      </c>
    </row>
    <row r="113" spans="1:24">
      <c r="A113" s="25" t="s">
        <v>1167</v>
      </c>
      <c r="B113" s="25" t="s">
        <v>314</v>
      </c>
      <c r="C113" s="25" t="s">
        <v>315</v>
      </c>
      <c r="D113" s="25" t="s">
        <v>316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</v>
      </c>
      <c r="K113" s="31">
        <f>38380</f>
        <v>38380</v>
      </c>
      <c r="L113" s="32" t="s">
        <v>1110</v>
      </c>
      <c r="M113" s="31">
        <f>39400</f>
        <v>39400</v>
      </c>
      <c r="N113" s="32" t="s">
        <v>1118</v>
      </c>
      <c r="O113" s="31">
        <f>37640</f>
        <v>37640</v>
      </c>
      <c r="P113" s="32" t="s">
        <v>777</v>
      </c>
      <c r="Q113" s="31">
        <f>38330</f>
        <v>38330</v>
      </c>
      <c r="R113" s="32" t="s">
        <v>681</v>
      </c>
      <c r="S113" s="33">
        <f>38751.43</f>
        <v>38751.43</v>
      </c>
      <c r="T113" s="30">
        <f>2740</f>
        <v>2740</v>
      </c>
      <c r="U113" s="30">
        <f>5</f>
        <v>5</v>
      </c>
      <c r="V113" s="30">
        <f>106034990</f>
        <v>106034990</v>
      </c>
      <c r="W113" s="30">
        <f>194380</f>
        <v>194380</v>
      </c>
      <c r="X113" s="34">
        <f>21</f>
        <v>21</v>
      </c>
    </row>
    <row r="114" spans="1:24">
      <c r="A114" s="25" t="s">
        <v>1167</v>
      </c>
      <c r="B114" s="25" t="s">
        <v>317</v>
      </c>
      <c r="C114" s="25" t="s">
        <v>318</v>
      </c>
      <c r="D114" s="25" t="s">
        <v>319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22200</f>
        <v>22200</v>
      </c>
      <c r="L114" s="32" t="s">
        <v>1110</v>
      </c>
      <c r="M114" s="31">
        <f>23870</f>
        <v>23870</v>
      </c>
      <c r="N114" s="32" t="s">
        <v>1112</v>
      </c>
      <c r="O114" s="31">
        <f>21690</f>
        <v>21690</v>
      </c>
      <c r="P114" s="32" t="s">
        <v>1113</v>
      </c>
      <c r="Q114" s="31">
        <f>23580</f>
        <v>23580</v>
      </c>
      <c r="R114" s="32" t="s">
        <v>681</v>
      </c>
      <c r="S114" s="33">
        <f>22730.95</f>
        <v>22730.95</v>
      </c>
      <c r="T114" s="30">
        <f>35695</f>
        <v>35695</v>
      </c>
      <c r="U114" s="30">
        <f>14</f>
        <v>14</v>
      </c>
      <c r="V114" s="30">
        <f>833876116</f>
        <v>833876116</v>
      </c>
      <c r="W114" s="30">
        <f>319071</f>
        <v>319071</v>
      </c>
      <c r="X114" s="34">
        <f>21</f>
        <v>21</v>
      </c>
    </row>
    <row r="115" spans="1:24">
      <c r="A115" s="25" t="s">
        <v>1167</v>
      </c>
      <c r="B115" s="25" t="s">
        <v>320</v>
      </c>
      <c r="C115" s="25" t="s">
        <v>321</v>
      </c>
      <c r="D115" s="25" t="s">
        <v>322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31080</f>
        <v>31080</v>
      </c>
      <c r="L115" s="32" t="s">
        <v>1110</v>
      </c>
      <c r="M115" s="31">
        <f>31780</f>
        <v>31780</v>
      </c>
      <c r="N115" s="32" t="s">
        <v>759</v>
      </c>
      <c r="O115" s="31">
        <f>30070</f>
        <v>30070</v>
      </c>
      <c r="P115" s="32" t="s">
        <v>777</v>
      </c>
      <c r="Q115" s="31">
        <f>30770</f>
        <v>30770</v>
      </c>
      <c r="R115" s="32" t="s">
        <v>681</v>
      </c>
      <c r="S115" s="33">
        <f>30854.29</f>
        <v>30854.29</v>
      </c>
      <c r="T115" s="30">
        <f>5981</f>
        <v>5981</v>
      </c>
      <c r="U115" s="30" t="str">
        <f>"－"</f>
        <v>－</v>
      </c>
      <c r="V115" s="30">
        <f>184200120</f>
        <v>184200120</v>
      </c>
      <c r="W115" s="30" t="str">
        <f>"－"</f>
        <v>－</v>
      </c>
      <c r="X115" s="34">
        <f>21</f>
        <v>21</v>
      </c>
    </row>
    <row r="116" spans="1:24">
      <c r="A116" s="25" t="s">
        <v>1167</v>
      </c>
      <c r="B116" s="25" t="s">
        <v>323</v>
      </c>
      <c r="C116" s="25" t="s">
        <v>324</v>
      </c>
      <c r="D116" s="25" t="s">
        <v>325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30900</f>
        <v>30900</v>
      </c>
      <c r="L116" s="32" t="s">
        <v>1110</v>
      </c>
      <c r="M116" s="31">
        <f>31700</f>
        <v>31700</v>
      </c>
      <c r="N116" s="32" t="s">
        <v>1118</v>
      </c>
      <c r="O116" s="31">
        <f>30420</f>
        <v>30420</v>
      </c>
      <c r="P116" s="32" t="s">
        <v>777</v>
      </c>
      <c r="Q116" s="31">
        <f>31130</f>
        <v>31130</v>
      </c>
      <c r="R116" s="32" t="s">
        <v>681</v>
      </c>
      <c r="S116" s="33">
        <f>31023.33</f>
        <v>31023.33</v>
      </c>
      <c r="T116" s="30">
        <f>4131</f>
        <v>4131</v>
      </c>
      <c r="U116" s="30" t="str">
        <f>"－"</f>
        <v>－</v>
      </c>
      <c r="V116" s="30">
        <f>127934660</f>
        <v>127934660</v>
      </c>
      <c r="W116" s="30" t="str">
        <f>"－"</f>
        <v>－</v>
      </c>
      <c r="X116" s="34">
        <f>21</f>
        <v>21</v>
      </c>
    </row>
    <row r="117" spans="1:24">
      <c r="A117" s="25" t="s">
        <v>1167</v>
      </c>
      <c r="B117" s="25" t="s">
        <v>326</v>
      </c>
      <c r="C117" s="25" t="s">
        <v>327</v>
      </c>
      <c r="D117" s="25" t="s">
        <v>328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28255</f>
        <v>28255</v>
      </c>
      <c r="L117" s="32" t="s">
        <v>1110</v>
      </c>
      <c r="M117" s="31">
        <f>28555</f>
        <v>28555</v>
      </c>
      <c r="N117" s="32" t="s">
        <v>1117</v>
      </c>
      <c r="O117" s="31">
        <f>27220</f>
        <v>27220</v>
      </c>
      <c r="P117" s="32" t="s">
        <v>777</v>
      </c>
      <c r="Q117" s="31">
        <f>28255</f>
        <v>28255</v>
      </c>
      <c r="R117" s="32" t="s">
        <v>681</v>
      </c>
      <c r="S117" s="33">
        <f>28099.76</f>
        <v>28099.759999999998</v>
      </c>
      <c r="T117" s="30">
        <f>8261</f>
        <v>8261</v>
      </c>
      <c r="U117" s="30">
        <f>3715</f>
        <v>3715</v>
      </c>
      <c r="V117" s="30">
        <f>231030417</f>
        <v>231030417</v>
      </c>
      <c r="W117" s="30">
        <f>103195062</f>
        <v>103195062</v>
      </c>
      <c r="X117" s="34">
        <f>21</f>
        <v>21</v>
      </c>
    </row>
    <row r="118" spans="1:24">
      <c r="A118" s="25" t="s">
        <v>1167</v>
      </c>
      <c r="B118" s="25" t="s">
        <v>329</v>
      </c>
      <c r="C118" s="25" t="s">
        <v>330</v>
      </c>
      <c r="D118" s="25" t="s">
        <v>331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37370</f>
        <v>37370</v>
      </c>
      <c r="L118" s="32" t="s">
        <v>1110</v>
      </c>
      <c r="M118" s="31">
        <f>37710</f>
        <v>37710</v>
      </c>
      <c r="N118" s="32" t="s">
        <v>1115</v>
      </c>
      <c r="O118" s="31">
        <f>35160</f>
        <v>35160</v>
      </c>
      <c r="P118" s="32" t="s">
        <v>777</v>
      </c>
      <c r="Q118" s="31">
        <f>36180</f>
        <v>36180</v>
      </c>
      <c r="R118" s="32" t="s">
        <v>681</v>
      </c>
      <c r="S118" s="33">
        <f>36282.38</f>
        <v>36282.379999999997</v>
      </c>
      <c r="T118" s="30">
        <f>20061</f>
        <v>20061</v>
      </c>
      <c r="U118" s="30">
        <f>73</f>
        <v>73</v>
      </c>
      <c r="V118" s="30">
        <f>728456090</f>
        <v>728456090</v>
      </c>
      <c r="W118" s="30">
        <f>2642780</f>
        <v>2642780</v>
      </c>
      <c r="X118" s="34">
        <f>21</f>
        <v>21</v>
      </c>
    </row>
    <row r="119" spans="1:24">
      <c r="A119" s="25" t="s">
        <v>1167</v>
      </c>
      <c r="B119" s="25" t="s">
        <v>332</v>
      </c>
      <c r="C119" s="25" t="s">
        <v>333</v>
      </c>
      <c r="D119" s="25" t="s">
        <v>334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27655</f>
        <v>27655</v>
      </c>
      <c r="L119" s="32" t="s">
        <v>1110</v>
      </c>
      <c r="M119" s="31">
        <f>28425</f>
        <v>28425</v>
      </c>
      <c r="N119" s="32" t="s">
        <v>883</v>
      </c>
      <c r="O119" s="31">
        <f>26660</f>
        <v>26660</v>
      </c>
      <c r="P119" s="32" t="s">
        <v>760</v>
      </c>
      <c r="Q119" s="31">
        <f>28150</f>
        <v>28150</v>
      </c>
      <c r="R119" s="32" t="s">
        <v>681</v>
      </c>
      <c r="S119" s="33">
        <f>27487.38</f>
        <v>27487.38</v>
      </c>
      <c r="T119" s="30">
        <f>17031</f>
        <v>17031</v>
      </c>
      <c r="U119" s="30">
        <f>12000</f>
        <v>12000</v>
      </c>
      <c r="V119" s="30">
        <f>466771040</f>
        <v>466771040</v>
      </c>
      <c r="W119" s="30">
        <f>327850800</f>
        <v>327850800</v>
      </c>
      <c r="X119" s="34">
        <f>21</f>
        <v>21</v>
      </c>
    </row>
    <row r="120" spans="1:24">
      <c r="A120" s="25" t="s">
        <v>1167</v>
      </c>
      <c r="B120" s="25" t="s">
        <v>335</v>
      </c>
      <c r="C120" s="25" t="s">
        <v>336</v>
      </c>
      <c r="D120" s="25" t="s">
        <v>337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58600</f>
        <v>58600</v>
      </c>
      <c r="L120" s="32" t="s">
        <v>1110</v>
      </c>
      <c r="M120" s="31">
        <f>61230</f>
        <v>61230</v>
      </c>
      <c r="N120" s="32" t="s">
        <v>1118</v>
      </c>
      <c r="O120" s="31">
        <f>57880</f>
        <v>57880</v>
      </c>
      <c r="P120" s="32" t="s">
        <v>1116</v>
      </c>
      <c r="Q120" s="31">
        <f>59500</f>
        <v>59500</v>
      </c>
      <c r="R120" s="32" t="s">
        <v>681</v>
      </c>
      <c r="S120" s="33">
        <f>59784.76</f>
        <v>59784.76</v>
      </c>
      <c r="T120" s="30">
        <f>2989</f>
        <v>2989</v>
      </c>
      <c r="U120" s="30">
        <f>22</f>
        <v>22</v>
      </c>
      <c r="V120" s="30">
        <f>179057560</f>
        <v>179057560</v>
      </c>
      <c r="W120" s="30">
        <f>1329320</f>
        <v>1329320</v>
      </c>
      <c r="X120" s="34">
        <f>21</f>
        <v>21</v>
      </c>
    </row>
    <row r="121" spans="1:24">
      <c r="A121" s="25" t="s">
        <v>1167</v>
      </c>
      <c r="B121" s="25" t="s">
        <v>338</v>
      </c>
      <c r="C121" s="25" t="s">
        <v>339</v>
      </c>
      <c r="D121" s="25" t="s">
        <v>340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37590</f>
        <v>37590</v>
      </c>
      <c r="L121" s="32" t="s">
        <v>1110</v>
      </c>
      <c r="M121" s="31">
        <f>38910</f>
        <v>38910</v>
      </c>
      <c r="N121" s="32" t="s">
        <v>778</v>
      </c>
      <c r="O121" s="31">
        <f>37040</f>
        <v>37040</v>
      </c>
      <c r="P121" s="32" t="s">
        <v>759</v>
      </c>
      <c r="Q121" s="31">
        <f>38340</f>
        <v>38340</v>
      </c>
      <c r="R121" s="32" t="s">
        <v>681</v>
      </c>
      <c r="S121" s="33">
        <f>38074.76</f>
        <v>38074.76</v>
      </c>
      <c r="T121" s="30">
        <f>13874</f>
        <v>13874</v>
      </c>
      <c r="U121" s="30">
        <f>1554</f>
        <v>1554</v>
      </c>
      <c r="V121" s="30">
        <f>527959935</f>
        <v>527959935</v>
      </c>
      <c r="W121" s="30">
        <f>59560925</f>
        <v>59560925</v>
      </c>
      <c r="X121" s="34">
        <f>21</f>
        <v>21</v>
      </c>
    </row>
    <row r="122" spans="1:24">
      <c r="A122" s="25" t="s">
        <v>1167</v>
      </c>
      <c r="B122" s="25" t="s">
        <v>341</v>
      </c>
      <c r="C122" s="25" t="s">
        <v>342</v>
      </c>
      <c r="D122" s="25" t="s">
        <v>343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33010</f>
        <v>33010</v>
      </c>
      <c r="L122" s="32" t="s">
        <v>1110</v>
      </c>
      <c r="M122" s="31">
        <f>34130</f>
        <v>34130</v>
      </c>
      <c r="N122" s="32" t="s">
        <v>1118</v>
      </c>
      <c r="O122" s="31">
        <f>32760</f>
        <v>32760</v>
      </c>
      <c r="P122" s="32" t="s">
        <v>1116</v>
      </c>
      <c r="Q122" s="31">
        <f>33910</f>
        <v>33910</v>
      </c>
      <c r="R122" s="32" t="s">
        <v>681</v>
      </c>
      <c r="S122" s="33">
        <f>33444.29</f>
        <v>33444.29</v>
      </c>
      <c r="T122" s="30">
        <f>5061</f>
        <v>5061</v>
      </c>
      <c r="U122" s="30">
        <f>1520</f>
        <v>1520</v>
      </c>
      <c r="V122" s="30">
        <f>169767770</f>
        <v>169767770</v>
      </c>
      <c r="W122" s="30">
        <f>51106220</f>
        <v>51106220</v>
      </c>
      <c r="X122" s="34">
        <f>21</f>
        <v>21</v>
      </c>
    </row>
    <row r="123" spans="1:24">
      <c r="A123" s="25" t="s">
        <v>1167</v>
      </c>
      <c r="B123" s="25" t="s">
        <v>344</v>
      </c>
      <c r="C123" s="25" t="s">
        <v>345</v>
      </c>
      <c r="D123" s="25" t="s">
        <v>346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9728</f>
        <v>9728</v>
      </c>
      <c r="L123" s="32" t="s">
        <v>1110</v>
      </c>
      <c r="M123" s="31">
        <f>10825</f>
        <v>10825</v>
      </c>
      <c r="N123" s="32" t="s">
        <v>883</v>
      </c>
      <c r="O123" s="31">
        <f>9587</f>
        <v>9587</v>
      </c>
      <c r="P123" s="32" t="s">
        <v>875</v>
      </c>
      <c r="Q123" s="31">
        <f>10670</f>
        <v>10670</v>
      </c>
      <c r="R123" s="32" t="s">
        <v>681</v>
      </c>
      <c r="S123" s="33">
        <f>10051.05</f>
        <v>10051.049999999999</v>
      </c>
      <c r="T123" s="30">
        <f>85326</f>
        <v>85326</v>
      </c>
      <c r="U123" s="30">
        <f>1047</f>
        <v>1047</v>
      </c>
      <c r="V123" s="30">
        <f>872347824</f>
        <v>872347824</v>
      </c>
      <c r="W123" s="30">
        <f>10526379</f>
        <v>10526379</v>
      </c>
      <c r="X123" s="34">
        <f>21</f>
        <v>21</v>
      </c>
    </row>
    <row r="124" spans="1:24">
      <c r="A124" s="25" t="s">
        <v>1167</v>
      </c>
      <c r="B124" s="25" t="s">
        <v>347</v>
      </c>
      <c r="C124" s="25" t="s">
        <v>348</v>
      </c>
      <c r="D124" s="25" t="s">
        <v>349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18725</f>
        <v>18725</v>
      </c>
      <c r="L124" s="32" t="s">
        <v>1110</v>
      </c>
      <c r="M124" s="31">
        <f>18900</f>
        <v>18900</v>
      </c>
      <c r="N124" s="32" t="s">
        <v>1114</v>
      </c>
      <c r="O124" s="31">
        <f>18190</f>
        <v>18190</v>
      </c>
      <c r="P124" s="32" t="s">
        <v>876</v>
      </c>
      <c r="Q124" s="31">
        <f>18525</f>
        <v>18525</v>
      </c>
      <c r="R124" s="32" t="s">
        <v>681</v>
      </c>
      <c r="S124" s="33">
        <f>18560.24</f>
        <v>18560.240000000002</v>
      </c>
      <c r="T124" s="30">
        <f>14904</f>
        <v>14904</v>
      </c>
      <c r="U124" s="30">
        <f>10</f>
        <v>10</v>
      </c>
      <c r="V124" s="30">
        <f>276251371</f>
        <v>276251371</v>
      </c>
      <c r="W124" s="30">
        <f>185856</f>
        <v>185856</v>
      </c>
      <c r="X124" s="34">
        <f>21</f>
        <v>21</v>
      </c>
    </row>
    <row r="125" spans="1:24">
      <c r="A125" s="25" t="s">
        <v>1167</v>
      </c>
      <c r="B125" s="25" t="s">
        <v>350</v>
      </c>
      <c r="C125" s="25" t="s">
        <v>351</v>
      </c>
      <c r="D125" s="25" t="s">
        <v>352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93570</f>
        <v>93570</v>
      </c>
      <c r="L125" s="32" t="s">
        <v>1110</v>
      </c>
      <c r="M125" s="31">
        <f>95950</f>
        <v>95950</v>
      </c>
      <c r="N125" s="32" t="s">
        <v>1116</v>
      </c>
      <c r="O125" s="31">
        <f>90890</f>
        <v>90890</v>
      </c>
      <c r="P125" s="32" t="s">
        <v>777</v>
      </c>
      <c r="Q125" s="31">
        <f>93590</f>
        <v>93590</v>
      </c>
      <c r="R125" s="32" t="s">
        <v>681</v>
      </c>
      <c r="S125" s="33">
        <f>93653.81</f>
        <v>93653.81</v>
      </c>
      <c r="T125" s="30">
        <f>31111</f>
        <v>31111</v>
      </c>
      <c r="U125" s="30">
        <f>579</f>
        <v>579</v>
      </c>
      <c r="V125" s="30">
        <f>2912448175</f>
        <v>2912448175</v>
      </c>
      <c r="W125" s="30">
        <f>53773595</f>
        <v>53773595</v>
      </c>
      <c r="X125" s="34">
        <f>21</f>
        <v>21</v>
      </c>
    </row>
    <row r="126" spans="1:24">
      <c r="A126" s="25" t="s">
        <v>1167</v>
      </c>
      <c r="B126" s="25" t="s">
        <v>1139</v>
      </c>
      <c r="C126" s="25" t="s">
        <v>1138</v>
      </c>
      <c r="D126" s="25" t="s">
        <v>1137</v>
      </c>
      <c r="E126" s="26" t="s">
        <v>43</v>
      </c>
      <c r="F126" s="27" t="s">
        <v>43</v>
      </c>
      <c r="G126" s="28" t="s">
        <v>43</v>
      </c>
      <c r="H126" s="29"/>
      <c r="I126" s="29" t="s">
        <v>465</v>
      </c>
      <c r="J126" s="30">
        <v>1</v>
      </c>
      <c r="K126" s="31">
        <f>9837</f>
        <v>9837</v>
      </c>
      <c r="L126" s="32" t="s">
        <v>1110</v>
      </c>
      <c r="M126" s="31">
        <f>10200</f>
        <v>10200</v>
      </c>
      <c r="N126" s="32" t="s">
        <v>883</v>
      </c>
      <c r="O126" s="31">
        <f>9800</f>
        <v>9800</v>
      </c>
      <c r="P126" s="32" t="s">
        <v>777</v>
      </c>
      <c r="Q126" s="31">
        <f>10010</f>
        <v>10010</v>
      </c>
      <c r="R126" s="32" t="s">
        <v>681</v>
      </c>
      <c r="S126" s="33">
        <f>9979.05</f>
        <v>9979.0499999999993</v>
      </c>
      <c r="T126" s="30">
        <f>5693</f>
        <v>5693</v>
      </c>
      <c r="U126" s="30" t="str">
        <f>"－"</f>
        <v>－</v>
      </c>
      <c r="V126" s="30">
        <f>56577923</f>
        <v>56577923</v>
      </c>
      <c r="W126" s="30" t="str">
        <f>"－"</f>
        <v>－</v>
      </c>
      <c r="X126" s="34">
        <f>21</f>
        <v>21</v>
      </c>
    </row>
    <row r="127" spans="1:24">
      <c r="A127" s="25" t="s">
        <v>1167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28590</f>
        <v>28590</v>
      </c>
      <c r="L127" s="32" t="s">
        <v>1110</v>
      </c>
      <c r="M127" s="31">
        <f>28985</f>
        <v>28985</v>
      </c>
      <c r="N127" s="32" t="s">
        <v>875</v>
      </c>
      <c r="O127" s="31">
        <f>28100</f>
        <v>28100</v>
      </c>
      <c r="P127" s="32" t="s">
        <v>777</v>
      </c>
      <c r="Q127" s="31">
        <f>28750</f>
        <v>28750</v>
      </c>
      <c r="R127" s="32" t="s">
        <v>681</v>
      </c>
      <c r="S127" s="33">
        <f>28555.48</f>
        <v>28555.48</v>
      </c>
      <c r="T127" s="30">
        <f>6308</f>
        <v>6308</v>
      </c>
      <c r="U127" s="30">
        <f>4</f>
        <v>4</v>
      </c>
      <c r="V127" s="30">
        <f>180338925</f>
        <v>180338925</v>
      </c>
      <c r="W127" s="30">
        <f>113860</f>
        <v>113860</v>
      </c>
      <c r="X127" s="34">
        <f>21</f>
        <v>21</v>
      </c>
    </row>
    <row r="128" spans="1:24">
      <c r="A128" s="25" t="s">
        <v>1167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17630</f>
        <v>17630</v>
      </c>
      <c r="L128" s="32" t="s">
        <v>1110</v>
      </c>
      <c r="M128" s="31">
        <f>19025</f>
        <v>19025</v>
      </c>
      <c r="N128" s="32" t="s">
        <v>681</v>
      </c>
      <c r="O128" s="31">
        <f>17255</f>
        <v>17255</v>
      </c>
      <c r="P128" s="32" t="s">
        <v>1113</v>
      </c>
      <c r="Q128" s="31">
        <f>19010</f>
        <v>19010</v>
      </c>
      <c r="R128" s="32" t="s">
        <v>681</v>
      </c>
      <c r="S128" s="33">
        <f>18051.9</f>
        <v>18051.900000000001</v>
      </c>
      <c r="T128" s="30">
        <f>107145</f>
        <v>107145</v>
      </c>
      <c r="U128" s="30">
        <f>23613</f>
        <v>23613</v>
      </c>
      <c r="V128" s="30">
        <f>1946668249</f>
        <v>1946668249</v>
      </c>
      <c r="W128" s="30">
        <f>420960389</f>
        <v>420960389</v>
      </c>
      <c r="X128" s="34">
        <f>21</f>
        <v>21</v>
      </c>
    </row>
    <row r="129" spans="1:24">
      <c r="A129" s="25" t="s">
        <v>1167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25725</f>
        <v>25725</v>
      </c>
      <c r="L129" s="32" t="s">
        <v>1110</v>
      </c>
      <c r="M129" s="31">
        <f>28070</f>
        <v>28070</v>
      </c>
      <c r="N129" s="32" t="s">
        <v>883</v>
      </c>
      <c r="O129" s="31">
        <f>25500</f>
        <v>25500</v>
      </c>
      <c r="P129" s="32" t="s">
        <v>760</v>
      </c>
      <c r="Q129" s="31">
        <f>27895</f>
        <v>27895</v>
      </c>
      <c r="R129" s="32" t="s">
        <v>681</v>
      </c>
      <c r="S129" s="33">
        <f>26446.67</f>
        <v>26446.67</v>
      </c>
      <c r="T129" s="30">
        <f>24616</f>
        <v>24616</v>
      </c>
      <c r="U129" s="30">
        <f>3660</f>
        <v>3660</v>
      </c>
      <c r="V129" s="30">
        <f>655619354</f>
        <v>655619354</v>
      </c>
      <c r="W129" s="30">
        <f>100179324</f>
        <v>100179324</v>
      </c>
      <c r="X129" s="34">
        <f>21</f>
        <v>21</v>
      </c>
    </row>
    <row r="130" spans="1:24">
      <c r="A130" s="25" t="s">
        <v>1167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42490</f>
        <v>42490</v>
      </c>
      <c r="L130" s="32" t="s">
        <v>1110</v>
      </c>
      <c r="M130" s="31">
        <f>43910</f>
        <v>43910</v>
      </c>
      <c r="N130" s="32" t="s">
        <v>759</v>
      </c>
      <c r="O130" s="31">
        <f>38380</f>
        <v>38380</v>
      </c>
      <c r="P130" s="32" t="s">
        <v>777</v>
      </c>
      <c r="Q130" s="31">
        <f>40150</f>
        <v>40150</v>
      </c>
      <c r="R130" s="32" t="s">
        <v>681</v>
      </c>
      <c r="S130" s="33">
        <f>41049.52</f>
        <v>41049.519999999997</v>
      </c>
      <c r="T130" s="30">
        <f>16457</f>
        <v>16457</v>
      </c>
      <c r="U130" s="30">
        <f>78</f>
        <v>78</v>
      </c>
      <c r="V130" s="30">
        <f>669473135</f>
        <v>669473135</v>
      </c>
      <c r="W130" s="30">
        <f>3088235</f>
        <v>3088235</v>
      </c>
      <c r="X130" s="34">
        <f>21</f>
        <v>21</v>
      </c>
    </row>
    <row r="131" spans="1:24">
      <c r="A131" s="25" t="s">
        <v>1167</v>
      </c>
      <c r="B131" s="25" t="s">
        <v>1136</v>
      </c>
      <c r="C131" s="25" t="s">
        <v>1135</v>
      </c>
      <c r="D131" s="25" t="s">
        <v>1134</v>
      </c>
      <c r="E131" s="26" t="s">
        <v>43</v>
      </c>
      <c r="F131" s="27" t="s">
        <v>43</v>
      </c>
      <c r="G131" s="28" t="s">
        <v>43</v>
      </c>
      <c r="H131" s="29"/>
      <c r="I131" s="29" t="s">
        <v>465</v>
      </c>
      <c r="J131" s="30">
        <v>1</v>
      </c>
      <c r="K131" s="31">
        <f>9600</f>
        <v>9600</v>
      </c>
      <c r="L131" s="32" t="s">
        <v>1110</v>
      </c>
      <c r="M131" s="31">
        <f>10200</f>
        <v>10200</v>
      </c>
      <c r="N131" s="32" t="s">
        <v>778</v>
      </c>
      <c r="O131" s="31">
        <f>9562</f>
        <v>9562</v>
      </c>
      <c r="P131" s="32" t="s">
        <v>1110</v>
      </c>
      <c r="Q131" s="31">
        <f>9950</f>
        <v>9950</v>
      </c>
      <c r="R131" s="32" t="s">
        <v>681</v>
      </c>
      <c r="S131" s="33">
        <f>9888.19</f>
        <v>9888.19</v>
      </c>
      <c r="T131" s="30">
        <f>168060</f>
        <v>168060</v>
      </c>
      <c r="U131" s="30">
        <f>2</f>
        <v>2</v>
      </c>
      <c r="V131" s="30">
        <f>1662871486</f>
        <v>1662871486</v>
      </c>
      <c r="W131" s="30">
        <f>19665</f>
        <v>19665</v>
      </c>
      <c r="X131" s="34">
        <f>21</f>
        <v>21</v>
      </c>
    </row>
    <row r="132" spans="1:24">
      <c r="A132" s="25" t="s">
        <v>1167</v>
      </c>
      <c r="B132" s="25" t="s">
        <v>365</v>
      </c>
      <c r="C132" s="25" t="s">
        <v>926</v>
      </c>
      <c r="D132" s="25" t="s">
        <v>927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</v>
      </c>
      <c r="K132" s="31">
        <f>2056.5</f>
        <v>2056.5</v>
      </c>
      <c r="L132" s="32" t="s">
        <v>1110</v>
      </c>
      <c r="M132" s="31">
        <f>2099</f>
        <v>2099</v>
      </c>
      <c r="N132" s="32" t="s">
        <v>883</v>
      </c>
      <c r="O132" s="31">
        <f>2008</f>
        <v>2008</v>
      </c>
      <c r="P132" s="32" t="s">
        <v>760</v>
      </c>
      <c r="Q132" s="31">
        <f>2092</f>
        <v>2092</v>
      </c>
      <c r="R132" s="32" t="s">
        <v>681</v>
      </c>
      <c r="S132" s="33">
        <f>2049.33</f>
        <v>2049.33</v>
      </c>
      <c r="T132" s="30">
        <f>946493</f>
        <v>946493</v>
      </c>
      <c r="U132" s="30">
        <f>446240</f>
        <v>446240</v>
      </c>
      <c r="V132" s="30">
        <f>1941290861</f>
        <v>1941290861</v>
      </c>
      <c r="W132" s="30">
        <f>918984001</f>
        <v>918984001</v>
      </c>
      <c r="X132" s="34">
        <f>21</f>
        <v>21</v>
      </c>
    </row>
    <row r="133" spans="1:24">
      <c r="A133" s="25" t="s">
        <v>1167</v>
      </c>
      <c r="B133" s="25" t="s">
        <v>366</v>
      </c>
      <c r="C133" s="25" t="s">
        <v>928</v>
      </c>
      <c r="D133" s="25" t="s">
        <v>929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3158</f>
        <v>3158</v>
      </c>
      <c r="L133" s="32" t="s">
        <v>1110</v>
      </c>
      <c r="M133" s="31">
        <f>3254</f>
        <v>3254</v>
      </c>
      <c r="N133" s="32" t="s">
        <v>681</v>
      </c>
      <c r="O133" s="31">
        <f>3158</f>
        <v>3158</v>
      </c>
      <c r="P133" s="32" t="s">
        <v>1110</v>
      </c>
      <c r="Q133" s="31">
        <f>3254</f>
        <v>3254</v>
      </c>
      <c r="R133" s="32" t="s">
        <v>681</v>
      </c>
      <c r="S133" s="33">
        <f>3206</f>
        <v>3206</v>
      </c>
      <c r="T133" s="30">
        <f>5140</f>
        <v>5140</v>
      </c>
      <c r="U133" s="30" t="str">
        <f>"－"</f>
        <v>－</v>
      </c>
      <c r="V133" s="30">
        <f>16356200</f>
        <v>16356200</v>
      </c>
      <c r="W133" s="30" t="str">
        <f>"－"</f>
        <v>－</v>
      </c>
      <c r="X133" s="34">
        <f>13</f>
        <v>13</v>
      </c>
    </row>
    <row r="134" spans="1:24">
      <c r="A134" s="25" t="s">
        <v>1167</v>
      </c>
      <c r="B134" s="25" t="s">
        <v>367</v>
      </c>
      <c r="C134" s="25" t="s">
        <v>930</v>
      </c>
      <c r="D134" s="25" t="s">
        <v>931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3478</f>
        <v>3478</v>
      </c>
      <c r="L134" s="32" t="s">
        <v>1110</v>
      </c>
      <c r="M134" s="31">
        <f>3560</f>
        <v>3560</v>
      </c>
      <c r="N134" s="32" t="s">
        <v>883</v>
      </c>
      <c r="O134" s="31">
        <f>3448</f>
        <v>3448</v>
      </c>
      <c r="P134" s="32" t="s">
        <v>1117</v>
      </c>
      <c r="Q134" s="31">
        <f>3545</f>
        <v>3545</v>
      </c>
      <c r="R134" s="32" t="s">
        <v>681</v>
      </c>
      <c r="S134" s="33">
        <f>3503.67</f>
        <v>3503.67</v>
      </c>
      <c r="T134" s="30">
        <f>10670</f>
        <v>10670</v>
      </c>
      <c r="U134" s="30" t="str">
        <f>"－"</f>
        <v>－</v>
      </c>
      <c r="V134" s="30">
        <f>37427780</f>
        <v>37427780</v>
      </c>
      <c r="W134" s="30" t="str">
        <f>"－"</f>
        <v>－</v>
      </c>
      <c r="X134" s="34">
        <f>18</f>
        <v>18</v>
      </c>
    </row>
    <row r="135" spans="1:24">
      <c r="A135" s="25" t="s">
        <v>1167</v>
      </c>
      <c r="B135" s="25" t="s">
        <v>368</v>
      </c>
      <c r="C135" s="25" t="s">
        <v>932</v>
      </c>
      <c r="D135" s="25" t="s">
        <v>933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2229</f>
        <v>2229</v>
      </c>
      <c r="L135" s="32" t="s">
        <v>1110</v>
      </c>
      <c r="M135" s="31">
        <f>2245</f>
        <v>2245</v>
      </c>
      <c r="N135" s="32" t="s">
        <v>681</v>
      </c>
      <c r="O135" s="31">
        <f>2190</f>
        <v>2190</v>
      </c>
      <c r="P135" s="32" t="s">
        <v>1123</v>
      </c>
      <c r="Q135" s="31">
        <f>2245</f>
        <v>2245</v>
      </c>
      <c r="R135" s="32" t="s">
        <v>681</v>
      </c>
      <c r="S135" s="33">
        <f>2216.67</f>
        <v>2216.67</v>
      </c>
      <c r="T135" s="30">
        <f>5760</f>
        <v>5760</v>
      </c>
      <c r="U135" s="30">
        <f>4490</f>
        <v>4490</v>
      </c>
      <c r="V135" s="30">
        <f>12798626</f>
        <v>12798626</v>
      </c>
      <c r="W135" s="30">
        <f>9980821</f>
        <v>9980821</v>
      </c>
      <c r="X135" s="34">
        <f>12</f>
        <v>12</v>
      </c>
    </row>
    <row r="136" spans="1:24">
      <c r="A136" s="25" t="s">
        <v>1167</v>
      </c>
      <c r="B136" s="25" t="s">
        <v>369</v>
      </c>
      <c r="C136" s="25" t="s">
        <v>370</v>
      </c>
      <c r="D136" s="25" t="s">
        <v>371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571.6</f>
        <v>571.6</v>
      </c>
      <c r="L136" s="32" t="s">
        <v>1110</v>
      </c>
      <c r="M136" s="31">
        <f>604.5</f>
        <v>604.5</v>
      </c>
      <c r="N136" s="32" t="s">
        <v>778</v>
      </c>
      <c r="O136" s="31">
        <f>565.2</f>
        <v>565.20000000000005</v>
      </c>
      <c r="P136" s="32" t="s">
        <v>1116</v>
      </c>
      <c r="Q136" s="31">
        <f>591.4</f>
        <v>591.4</v>
      </c>
      <c r="R136" s="32" t="s">
        <v>681</v>
      </c>
      <c r="S136" s="33">
        <f>590.37</f>
        <v>590.37</v>
      </c>
      <c r="T136" s="30">
        <f>48257600</f>
        <v>48257600</v>
      </c>
      <c r="U136" s="30">
        <f>5734130</f>
        <v>5734130</v>
      </c>
      <c r="V136" s="30">
        <f>28421596775</f>
        <v>28421596775</v>
      </c>
      <c r="W136" s="30">
        <f>3326860609</f>
        <v>3326860609</v>
      </c>
      <c r="X136" s="34">
        <f>21</f>
        <v>21</v>
      </c>
    </row>
    <row r="137" spans="1:24">
      <c r="A137" s="25" t="s">
        <v>1167</v>
      </c>
      <c r="B137" s="25" t="s">
        <v>372</v>
      </c>
      <c r="C137" s="25" t="s">
        <v>373</v>
      </c>
      <c r="D137" s="25" t="s">
        <v>374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300</f>
        <v>300</v>
      </c>
      <c r="L137" s="32" t="s">
        <v>1110</v>
      </c>
      <c r="M137" s="31">
        <f>304.7</f>
        <v>304.7</v>
      </c>
      <c r="N137" s="32" t="s">
        <v>778</v>
      </c>
      <c r="O137" s="31">
        <f>297.1</f>
        <v>297.10000000000002</v>
      </c>
      <c r="P137" s="32" t="s">
        <v>1116</v>
      </c>
      <c r="Q137" s="31">
        <f>302</f>
        <v>302</v>
      </c>
      <c r="R137" s="32" t="s">
        <v>681</v>
      </c>
      <c r="S137" s="33">
        <f>301.98</f>
        <v>301.98</v>
      </c>
      <c r="T137" s="30">
        <f>13301690</f>
        <v>13301690</v>
      </c>
      <c r="U137" s="30">
        <f>6108300</f>
        <v>6108300</v>
      </c>
      <c r="V137" s="30">
        <f>4022455019</f>
        <v>4022455019</v>
      </c>
      <c r="W137" s="30">
        <f>1849811910</f>
        <v>1849811910</v>
      </c>
      <c r="X137" s="34">
        <f>21</f>
        <v>21</v>
      </c>
    </row>
    <row r="138" spans="1:24">
      <c r="A138" s="25" t="s">
        <v>1167</v>
      </c>
      <c r="B138" s="25" t="s">
        <v>375</v>
      </c>
      <c r="C138" s="25" t="s">
        <v>973</v>
      </c>
      <c r="D138" s="25" t="s">
        <v>376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4830</f>
        <v>4830</v>
      </c>
      <c r="L138" s="32" t="s">
        <v>1110</v>
      </c>
      <c r="M138" s="31">
        <f>5100</f>
        <v>5100</v>
      </c>
      <c r="N138" s="32" t="s">
        <v>778</v>
      </c>
      <c r="O138" s="31">
        <f>4780</f>
        <v>4780</v>
      </c>
      <c r="P138" s="32" t="s">
        <v>1116</v>
      </c>
      <c r="Q138" s="31">
        <f>5010</f>
        <v>5010</v>
      </c>
      <c r="R138" s="32" t="s">
        <v>681</v>
      </c>
      <c r="S138" s="33">
        <f>4992.38</f>
        <v>4992.38</v>
      </c>
      <c r="T138" s="30">
        <f>35204</f>
        <v>35204</v>
      </c>
      <c r="U138" s="30">
        <f>1350</f>
        <v>1350</v>
      </c>
      <c r="V138" s="30">
        <f>175393666</f>
        <v>175393666</v>
      </c>
      <c r="W138" s="30">
        <f>6584476</f>
        <v>6584476</v>
      </c>
      <c r="X138" s="34">
        <f>21</f>
        <v>21</v>
      </c>
    </row>
    <row r="139" spans="1:24">
      <c r="A139" s="25" t="s">
        <v>1167</v>
      </c>
      <c r="B139" s="25" t="s">
        <v>377</v>
      </c>
      <c r="C139" s="25" t="s">
        <v>378</v>
      </c>
      <c r="D139" s="25" t="s">
        <v>379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2729</f>
        <v>2729</v>
      </c>
      <c r="L139" s="32" t="s">
        <v>1110</v>
      </c>
      <c r="M139" s="31">
        <f>2889</f>
        <v>2889</v>
      </c>
      <c r="N139" s="32" t="s">
        <v>1118</v>
      </c>
      <c r="O139" s="31">
        <f>2655</f>
        <v>2655</v>
      </c>
      <c r="P139" s="32" t="s">
        <v>1116</v>
      </c>
      <c r="Q139" s="31">
        <f>2808</f>
        <v>2808</v>
      </c>
      <c r="R139" s="32" t="s">
        <v>681</v>
      </c>
      <c r="S139" s="33">
        <f>2811.95</f>
        <v>2811.95</v>
      </c>
      <c r="T139" s="30">
        <f>95946</f>
        <v>95946</v>
      </c>
      <c r="U139" s="30">
        <f>3512</f>
        <v>3512</v>
      </c>
      <c r="V139" s="30">
        <f>270493158</f>
        <v>270493158</v>
      </c>
      <c r="W139" s="30">
        <f>9990937</f>
        <v>9990937</v>
      </c>
      <c r="X139" s="34">
        <f>21</f>
        <v>21</v>
      </c>
    </row>
    <row r="140" spans="1:24">
      <c r="A140" s="25" t="s">
        <v>1167</v>
      </c>
      <c r="B140" s="25" t="s">
        <v>380</v>
      </c>
      <c r="C140" s="25" t="s">
        <v>381</v>
      </c>
      <c r="D140" s="25" t="s">
        <v>382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2943</f>
        <v>2943</v>
      </c>
      <c r="L140" s="32" t="s">
        <v>1110</v>
      </c>
      <c r="M140" s="31">
        <f>3085</f>
        <v>3085</v>
      </c>
      <c r="N140" s="32" t="s">
        <v>1118</v>
      </c>
      <c r="O140" s="31">
        <f>2912</f>
        <v>2912</v>
      </c>
      <c r="P140" s="32" t="s">
        <v>1116</v>
      </c>
      <c r="Q140" s="31">
        <f>2989</f>
        <v>2989</v>
      </c>
      <c r="R140" s="32" t="s">
        <v>681</v>
      </c>
      <c r="S140" s="33">
        <f>3010.48</f>
        <v>3010.48</v>
      </c>
      <c r="T140" s="30">
        <f>292512</f>
        <v>292512</v>
      </c>
      <c r="U140" s="30">
        <f>163533</f>
        <v>163533</v>
      </c>
      <c r="V140" s="30">
        <f>887866790</f>
        <v>887866790</v>
      </c>
      <c r="W140" s="30">
        <f>501763537</f>
        <v>501763537</v>
      </c>
      <c r="X140" s="34">
        <f>21</f>
        <v>21</v>
      </c>
    </row>
    <row r="141" spans="1:24">
      <c r="A141" s="25" t="s">
        <v>1167</v>
      </c>
      <c r="B141" s="25" t="s">
        <v>383</v>
      </c>
      <c r="C141" s="25" t="s">
        <v>384</v>
      </c>
      <c r="D141" s="25" t="s">
        <v>385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10365</f>
        <v>10365</v>
      </c>
      <c r="L141" s="32" t="s">
        <v>1110</v>
      </c>
      <c r="M141" s="31">
        <f>10490</f>
        <v>10490</v>
      </c>
      <c r="N141" s="32" t="s">
        <v>1115</v>
      </c>
      <c r="O141" s="31">
        <f>9864</f>
        <v>9864</v>
      </c>
      <c r="P141" s="32" t="s">
        <v>777</v>
      </c>
      <c r="Q141" s="31">
        <f>9995</f>
        <v>9995</v>
      </c>
      <c r="R141" s="32" t="s">
        <v>681</v>
      </c>
      <c r="S141" s="33">
        <f>10243.24</f>
        <v>10243.24</v>
      </c>
      <c r="T141" s="30">
        <f>185667</f>
        <v>185667</v>
      </c>
      <c r="U141" s="30">
        <f>113793</f>
        <v>113793</v>
      </c>
      <c r="V141" s="30">
        <f>1897731454</f>
        <v>1897731454</v>
      </c>
      <c r="W141" s="30">
        <f>1163181894</f>
        <v>1163181894</v>
      </c>
      <c r="X141" s="34">
        <f>21</f>
        <v>21</v>
      </c>
    </row>
    <row r="142" spans="1:24">
      <c r="A142" s="25" t="s">
        <v>1167</v>
      </c>
      <c r="B142" s="25" t="s">
        <v>386</v>
      </c>
      <c r="C142" s="25" t="s">
        <v>387</v>
      </c>
      <c r="D142" s="25" t="s">
        <v>388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3375</f>
        <v>3375</v>
      </c>
      <c r="L142" s="32" t="s">
        <v>1110</v>
      </c>
      <c r="M142" s="31">
        <f>3385</f>
        <v>3385</v>
      </c>
      <c r="N142" s="32" t="s">
        <v>1110</v>
      </c>
      <c r="O142" s="31">
        <f>3200</f>
        <v>3200</v>
      </c>
      <c r="P142" s="32" t="s">
        <v>1113</v>
      </c>
      <c r="Q142" s="31">
        <f>3255</f>
        <v>3255</v>
      </c>
      <c r="R142" s="32" t="s">
        <v>681</v>
      </c>
      <c r="S142" s="33">
        <f>3266.43</f>
        <v>3266.43</v>
      </c>
      <c r="T142" s="30">
        <f>2717538</f>
        <v>2717538</v>
      </c>
      <c r="U142" s="30">
        <f>348</f>
        <v>348</v>
      </c>
      <c r="V142" s="30">
        <f>8869485365</f>
        <v>8869485365</v>
      </c>
      <c r="W142" s="30">
        <f>1144790</f>
        <v>1144790</v>
      </c>
      <c r="X142" s="34">
        <f>21</f>
        <v>21</v>
      </c>
    </row>
    <row r="143" spans="1:24">
      <c r="A143" s="25" t="s">
        <v>1167</v>
      </c>
      <c r="B143" s="25" t="s">
        <v>389</v>
      </c>
      <c r="C143" s="25" t="s">
        <v>390</v>
      </c>
      <c r="D143" s="25" t="s">
        <v>391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34000</f>
        <v>34000</v>
      </c>
      <c r="L143" s="32" t="s">
        <v>1110</v>
      </c>
      <c r="M143" s="31">
        <f>35700</f>
        <v>35700</v>
      </c>
      <c r="N143" s="32" t="s">
        <v>1118</v>
      </c>
      <c r="O143" s="31">
        <f>33490</f>
        <v>33490</v>
      </c>
      <c r="P143" s="32" t="s">
        <v>1113</v>
      </c>
      <c r="Q143" s="31">
        <f>34320</f>
        <v>34320</v>
      </c>
      <c r="R143" s="32" t="s">
        <v>681</v>
      </c>
      <c r="S143" s="33">
        <f>34420.95</f>
        <v>34420.949999999997</v>
      </c>
      <c r="T143" s="30">
        <f>12680</f>
        <v>12680</v>
      </c>
      <c r="U143" s="30" t="str">
        <f>"－"</f>
        <v>－</v>
      </c>
      <c r="V143" s="30">
        <f>437276460</f>
        <v>437276460</v>
      </c>
      <c r="W143" s="30" t="str">
        <f>"－"</f>
        <v>－</v>
      </c>
      <c r="X143" s="34">
        <f>21</f>
        <v>21</v>
      </c>
    </row>
    <row r="144" spans="1:24">
      <c r="A144" s="25" t="s">
        <v>1167</v>
      </c>
      <c r="B144" s="25" t="s">
        <v>392</v>
      </c>
      <c r="C144" s="25" t="s">
        <v>393</v>
      </c>
      <c r="D144" s="25" t="s">
        <v>394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10</v>
      </c>
      <c r="K144" s="31">
        <f>3860</f>
        <v>3860</v>
      </c>
      <c r="L144" s="32" t="s">
        <v>1110</v>
      </c>
      <c r="M144" s="31">
        <f>4813</f>
        <v>4813</v>
      </c>
      <c r="N144" s="32" t="s">
        <v>760</v>
      </c>
      <c r="O144" s="31">
        <f>3800</f>
        <v>3800</v>
      </c>
      <c r="P144" s="32" t="s">
        <v>1116</v>
      </c>
      <c r="Q144" s="31">
        <f>4486</f>
        <v>4486</v>
      </c>
      <c r="R144" s="32" t="s">
        <v>681</v>
      </c>
      <c r="S144" s="33">
        <f>4283.95</f>
        <v>4283.95</v>
      </c>
      <c r="T144" s="30">
        <f>177120</f>
        <v>177120</v>
      </c>
      <c r="U144" s="30" t="str">
        <f>"－"</f>
        <v>－</v>
      </c>
      <c r="V144" s="30">
        <f>783651800</f>
        <v>783651800</v>
      </c>
      <c r="W144" s="30" t="str">
        <f>"－"</f>
        <v>－</v>
      </c>
      <c r="X144" s="34">
        <f>21</f>
        <v>21</v>
      </c>
    </row>
    <row r="145" spans="1:24">
      <c r="A145" s="25" t="s">
        <v>1167</v>
      </c>
      <c r="B145" s="25" t="s">
        <v>395</v>
      </c>
      <c r="C145" s="25" t="s">
        <v>396</v>
      </c>
      <c r="D145" s="25" t="s">
        <v>397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13745</f>
        <v>13745</v>
      </c>
      <c r="L145" s="32" t="s">
        <v>1110</v>
      </c>
      <c r="M145" s="31">
        <f>16435</f>
        <v>16435</v>
      </c>
      <c r="N145" s="32" t="s">
        <v>1112</v>
      </c>
      <c r="O145" s="31">
        <f>13385</f>
        <v>13385</v>
      </c>
      <c r="P145" s="32" t="s">
        <v>1110</v>
      </c>
      <c r="Q145" s="31">
        <f>14900</f>
        <v>14900</v>
      </c>
      <c r="R145" s="32" t="s">
        <v>681</v>
      </c>
      <c r="S145" s="33">
        <f>14712.62</f>
        <v>14712.62</v>
      </c>
      <c r="T145" s="30">
        <f>11594</f>
        <v>11594</v>
      </c>
      <c r="U145" s="30" t="str">
        <f>"－"</f>
        <v>－</v>
      </c>
      <c r="V145" s="30">
        <f>174578220</f>
        <v>174578220</v>
      </c>
      <c r="W145" s="30" t="str">
        <f>"－"</f>
        <v>－</v>
      </c>
      <c r="X145" s="34">
        <f>21</f>
        <v>21</v>
      </c>
    </row>
    <row r="146" spans="1:24">
      <c r="A146" s="25" t="s">
        <v>1167</v>
      </c>
      <c r="B146" s="25" t="s">
        <v>398</v>
      </c>
      <c r="C146" s="25" t="s">
        <v>399</v>
      </c>
      <c r="D146" s="25" t="s">
        <v>400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14060</f>
        <v>14060</v>
      </c>
      <c r="L146" s="32" t="s">
        <v>1110</v>
      </c>
      <c r="M146" s="31">
        <f>15000</f>
        <v>15000</v>
      </c>
      <c r="N146" s="32" t="s">
        <v>1112</v>
      </c>
      <c r="O146" s="31">
        <f>13620</f>
        <v>13620</v>
      </c>
      <c r="P146" s="32" t="s">
        <v>681</v>
      </c>
      <c r="Q146" s="31">
        <f>13710</f>
        <v>13710</v>
      </c>
      <c r="R146" s="32" t="s">
        <v>681</v>
      </c>
      <c r="S146" s="33">
        <f>14103.1</f>
        <v>14103.1</v>
      </c>
      <c r="T146" s="30">
        <f>12359</f>
        <v>12359</v>
      </c>
      <c r="U146" s="30" t="str">
        <f>"－"</f>
        <v>－</v>
      </c>
      <c r="V146" s="30">
        <f>175379445</f>
        <v>175379445</v>
      </c>
      <c r="W146" s="30" t="str">
        <f>"－"</f>
        <v>－</v>
      </c>
      <c r="X146" s="34">
        <f>21</f>
        <v>21</v>
      </c>
    </row>
    <row r="147" spans="1:24">
      <c r="A147" s="25" t="s">
        <v>1167</v>
      </c>
      <c r="B147" s="25" t="s">
        <v>401</v>
      </c>
      <c r="C147" s="25" t="s">
        <v>402</v>
      </c>
      <c r="D147" s="25" t="s">
        <v>403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21840</f>
        <v>21840</v>
      </c>
      <c r="L147" s="32" t="s">
        <v>1116</v>
      </c>
      <c r="M147" s="31">
        <f>28415</f>
        <v>28415</v>
      </c>
      <c r="N147" s="32" t="s">
        <v>1118</v>
      </c>
      <c r="O147" s="31">
        <f>21780</f>
        <v>21780</v>
      </c>
      <c r="P147" s="32" t="s">
        <v>1115</v>
      </c>
      <c r="Q147" s="31">
        <f>23250</f>
        <v>23250</v>
      </c>
      <c r="R147" s="32" t="s">
        <v>681</v>
      </c>
      <c r="S147" s="33">
        <f>23207.5</f>
        <v>23207.5</v>
      </c>
      <c r="T147" s="30">
        <f>1064</f>
        <v>1064</v>
      </c>
      <c r="U147" s="30" t="str">
        <f>"－"</f>
        <v>－</v>
      </c>
      <c r="V147" s="30">
        <f>25065355</f>
        <v>25065355</v>
      </c>
      <c r="W147" s="30" t="str">
        <f>"－"</f>
        <v>－</v>
      </c>
      <c r="X147" s="34">
        <f>20</f>
        <v>20</v>
      </c>
    </row>
    <row r="148" spans="1:24">
      <c r="A148" s="25" t="s">
        <v>1167</v>
      </c>
      <c r="B148" s="25" t="s">
        <v>404</v>
      </c>
      <c r="C148" s="25" t="s">
        <v>405</v>
      </c>
      <c r="D148" s="25" t="s">
        <v>406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56690</f>
        <v>56690</v>
      </c>
      <c r="L148" s="32" t="s">
        <v>1110</v>
      </c>
      <c r="M148" s="31">
        <f>57230</f>
        <v>57230</v>
      </c>
      <c r="N148" s="32" t="s">
        <v>1111</v>
      </c>
      <c r="O148" s="31">
        <f>56000</f>
        <v>56000</v>
      </c>
      <c r="P148" s="32" t="s">
        <v>1116</v>
      </c>
      <c r="Q148" s="31">
        <f>56740</f>
        <v>56740</v>
      </c>
      <c r="R148" s="32" t="s">
        <v>681</v>
      </c>
      <c r="S148" s="33">
        <f>56800</f>
        <v>56800</v>
      </c>
      <c r="T148" s="30">
        <f>32960</f>
        <v>32960</v>
      </c>
      <c r="U148" s="30">
        <f>30470</f>
        <v>30470</v>
      </c>
      <c r="V148" s="30">
        <f>1852753400</f>
        <v>1852753400</v>
      </c>
      <c r="W148" s="30">
        <f>1711427400</f>
        <v>1711427400</v>
      </c>
      <c r="X148" s="34">
        <f>21</f>
        <v>21</v>
      </c>
    </row>
    <row r="149" spans="1:24">
      <c r="A149" s="25" t="s">
        <v>1167</v>
      </c>
      <c r="B149" s="25" t="s">
        <v>407</v>
      </c>
      <c r="C149" s="25" t="s">
        <v>974</v>
      </c>
      <c r="D149" s="25" t="s">
        <v>408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368.1</f>
        <v>368.1</v>
      </c>
      <c r="L149" s="32" t="s">
        <v>1110</v>
      </c>
      <c r="M149" s="31">
        <f>376.2</f>
        <v>376.2</v>
      </c>
      <c r="N149" s="32" t="s">
        <v>1111</v>
      </c>
      <c r="O149" s="31">
        <f>353.6</f>
        <v>353.6</v>
      </c>
      <c r="P149" s="32" t="s">
        <v>1123</v>
      </c>
      <c r="Q149" s="31">
        <f>366.9</f>
        <v>366.9</v>
      </c>
      <c r="R149" s="32" t="s">
        <v>681</v>
      </c>
      <c r="S149" s="33">
        <f>365.25</f>
        <v>365.25</v>
      </c>
      <c r="T149" s="30">
        <f>48962370</f>
        <v>48962370</v>
      </c>
      <c r="U149" s="30">
        <f>443540</f>
        <v>443540</v>
      </c>
      <c r="V149" s="30">
        <f>17861896670</f>
        <v>17861896670</v>
      </c>
      <c r="W149" s="30">
        <f>159693661</f>
        <v>159693661</v>
      </c>
      <c r="X149" s="34">
        <f>21</f>
        <v>21</v>
      </c>
    </row>
    <row r="150" spans="1:24">
      <c r="A150" s="25" t="s">
        <v>1167</v>
      </c>
      <c r="B150" s="25" t="s">
        <v>409</v>
      </c>
      <c r="C150" s="25" t="s">
        <v>975</v>
      </c>
      <c r="D150" s="25" t="s">
        <v>410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50300</f>
        <v>50300</v>
      </c>
      <c r="L150" s="32" t="s">
        <v>1110</v>
      </c>
      <c r="M150" s="31">
        <f>52090</f>
        <v>52090</v>
      </c>
      <c r="N150" s="32" t="s">
        <v>1118</v>
      </c>
      <c r="O150" s="31">
        <f>49600</f>
        <v>49600</v>
      </c>
      <c r="P150" s="32" t="s">
        <v>1116</v>
      </c>
      <c r="Q150" s="31">
        <f>50120</f>
        <v>50120</v>
      </c>
      <c r="R150" s="32" t="s">
        <v>681</v>
      </c>
      <c r="S150" s="33">
        <f>51118.57</f>
        <v>51118.57</v>
      </c>
      <c r="T150" s="30">
        <f>1920</f>
        <v>1920</v>
      </c>
      <c r="U150" s="30">
        <f>20</f>
        <v>20</v>
      </c>
      <c r="V150" s="30">
        <f>97540600</f>
        <v>97540600</v>
      </c>
      <c r="W150" s="30">
        <f>1018600</f>
        <v>1018600</v>
      </c>
      <c r="X150" s="34">
        <f>21</f>
        <v>21</v>
      </c>
    </row>
    <row r="151" spans="1:24">
      <c r="A151" s="25" t="s">
        <v>1167</v>
      </c>
      <c r="B151" s="25" t="s">
        <v>411</v>
      </c>
      <c r="C151" s="25" t="s">
        <v>412</v>
      </c>
      <c r="D151" s="25" t="s">
        <v>976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5499</f>
        <v>5499</v>
      </c>
      <c r="L151" s="32" t="s">
        <v>1110</v>
      </c>
      <c r="M151" s="31">
        <f>5812</f>
        <v>5812</v>
      </c>
      <c r="N151" s="32" t="s">
        <v>778</v>
      </c>
      <c r="O151" s="31">
        <f>5460</f>
        <v>5460</v>
      </c>
      <c r="P151" s="32" t="s">
        <v>1116</v>
      </c>
      <c r="Q151" s="31">
        <f>5700</f>
        <v>5700</v>
      </c>
      <c r="R151" s="32" t="s">
        <v>681</v>
      </c>
      <c r="S151" s="33">
        <f>5690.67</f>
        <v>5690.67</v>
      </c>
      <c r="T151" s="30">
        <f>66220</f>
        <v>66220</v>
      </c>
      <c r="U151" s="30">
        <f>10</f>
        <v>10</v>
      </c>
      <c r="V151" s="30">
        <f>377144350</f>
        <v>377144350</v>
      </c>
      <c r="W151" s="30">
        <f>58120</f>
        <v>58120</v>
      </c>
      <c r="X151" s="34">
        <f>21</f>
        <v>21</v>
      </c>
    </row>
    <row r="152" spans="1:24">
      <c r="A152" s="25" t="s">
        <v>1167</v>
      </c>
      <c r="B152" s="25" t="s">
        <v>413</v>
      </c>
      <c r="C152" s="25" t="s">
        <v>977</v>
      </c>
      <c r="D152" s="25" t="s">
        <v>978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2059.5</f>
        <v>2059.5</v>
      </c>
      <c r="L152" s="32" t="s">
        <v>1110</v>
      </c>
      <c r="M152" s="31">
        <f>2238.5</f>
        <v>2238.5</v>
      </c>
      <c r="N152" s="32" t="s">
        <v>778</v>
      </c>
      <c r="O152" s="31">
        <f>2051</f>
        <v>2051</v>
      </c>
      <c r="P152" s="32" t="s">
        <v>1110</v>
      </c>
      <c r="Q152" s="31">
        <f>2150.5</f>
        <v>2150.5</v>
      </c>
      <c r="R152" s="32" t="s">
        <v>681</v>
      </c>
      <c r="S152" s="33">
        <f>2153.74</f>
        <v>2153.7399999999998</v>
      </c>
      <c r="T152" s="30">
        <f>230950</f>
        <v>230950</v>
      </c>
      <c r="U152" s="30" t="str">
        <f>"－"</f>
        <v>－</v>
      </c>
      <c r="V152" s="30">
        <f>498569880</f>
        <v>498569880</v>
      </c>
      <c r="W152" s="30" t="str">
        <f>"－"</f>
        <v>－</v>
      </c>
      <c r="X152" s="34">
        <f>21</f>
        <v>21</v>
      </c>
    </row>
    <row r="153" spans="1:24">
      <c r="A153" s="25" t="s">
        <v>1167</v>
      </c>
      <c r="B153" s="25" t="s">
        <v>414</v>
      </c>
      <c r="C153" s="25" t="s">
        <v>415</v>
      </c>
      <c r="D153" s="25" t="s">
        <v>416</v>
      </c>
      <c r="E153" s="26" t="s">
        <v>43</v>
      </c>
      <c r="F153" s="27" t="s">
        <v>43</v>
      </c>
      <c r="G153" s="28" t="s">
        <v>43</v>
      </c>
      <c r="H153" s="29" t="s">
        <v>240</v>
      </c>
      <c r="I153" s="29" t="s">
        <v>44</v>
      </c>
      <c r="J153" s="30">
        <v>100</v>
      </c>
      <c r="K153" s="31">
        <f>249.5</f>
        <v>249.5</v>
      </c>
      <c r="L153" s="32" t="s">
        <v>1110</v>
      </c>
      <c r="M153" s="31">
        <f>294</f>
        <v>294</v>
      </c>
      <c r="N153" s="32" t="s">
        <v>1118</v>
      </c>
      <c r="O153" s="31">
        <f>247.1</f>
        <v>247.1</v>
      </c>
      <c r="P153" s="32" t="s">
        <v>876</v>
      </c>
      <c r="Q153" s="31">
        <f>271.1</f>
        <v>271.10000000000002</v>
      </c>
      <c r="R153" s="32" t="s">
        <v>681</v>
      </c>
      <c r="S153" s="33">
        <f>266.24</f>
        <v>266.24</v>
      </c>
      <c r="T153" s="30">
        <f>292200</f>
        <v>292200</v>
      </c>
      <c r="U153" s="30">
        <f>100</f>
        <v>100</v>
      </c>
      <c r="V153" s="30">
        <f>78869150</f>
        <v>78869150</v>
      </c>
      <c r="W153" s="30">
        <f>27130</f>
        <v>27130</v>
      </c>
      <c r="X153" s="34">
        <f>21</f>
        <v>21</v>
      </c>
    </row>
    <row r="154" spans="1:24">
      <c r="A154" s="25" t="s">
        <v>1167</v>
      </c>
      <c r="B154" s="25" t="s">
        <v>417</v>
      </c>
      <c r="C154" s="25" t="s">
        <v>418</v>
      </c>
      <c r="D154" s="25" t="s">
        <v>419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1886.5</f>
        <v>1886.5</v>
      </c>
      <c r="L154" s="32" t="s">
        <v>1110</v>
      </c>
      <c r="M154" s="31">
        <f>1899.5</f>
        <v>1899.5</v>
      </c>
      <c r="N154" s="32" t="s">
        <v>1112</v>
      </c>
      <c r="O154" s="31">
        <f>1717.5</f>
        <v>1717.5</v>
      </c>
      <c r="P154" s="32" t="s">
        <v>1110</v>
      </c>
      <c r="Q154" s="31">
        <f>1789</f>
        <v>1789</v>
      </c>
      <c r="R154" s="32" t="s">
        <v>681</v>
      </c>
      <c r="S154" s="33">
        <f>1793.64</f>
        <v>1793.64</v>
      </c>
      <c r="T154" s="30">
        <f>2380</f>
        <v>2380</v>
      </c>
      <c r="U154" s="30" t="str">
        <f>"－"</f>
        <v>－</v>
      </c>
      <c r="V154" s="30">
        <f>4229895</f>
        <v>4229895</v>
      </c>
      <c r="W154" s="30" t="str">
        <f>"－"</f>
        <v>－</v>
      </c>
      <c r="X154" s="34">
        <f>14</f>
        <v>14</v>
      </c>
    </row>
    <row r="155" spans="1:24">
      <c r="A155" s="25" t="s">
        <v>1167</v>
      </c>
      <c r="B155" s="25" t="s">
        <v>420</v>
      </c>
      <c r="C155" s="25" t="s">
        <v>421</v>
      </c>
      <c r="D155" s="25" t="s">
        <v>422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600</f>
        <v>600</v>
      </c>
      <c r="L155" s="32" t="s">
        <v>1110</v>
      </c>
      <c r="M155" s="31">
        <f>626.9</f>
        <v>626.9</v>
      </c>
      <c r="N155" s="32" t="s">
        <v>1112</v>
      </c>
      <c r="O155" s="31">
        <f>565.8</f>
        <v>565.79999999999995</v>
      </c>
      <c r="P155" s="32" t="s">
        <v>1113</v>
      </c>
      <c r="Q155" s="31">
        <f>574.2</f>
        <v>574.20000000000005</v>
      </c>
      <c r="R155" s="32" t="s">
        <v>681</v>
      </c>
      <c r="S155" s="33">
        <f>583.03</f>
        <v>583.03</v>
      </c>
      <c r="T155" s="30">
        <f>40570</f>
        <v>40570</v>
      </c>
      <c r="U155" s="30" t="str">
        <f>"－"</f>
        <v>－</v>
      </c>
      <c r="V155" s="30">
        <f>23768812</f>
        <v>23768812</v>
      </c>
      <c r="W155" s="30" t="str">
        <f>"－"</f>
        <v>－</v>
      </c>
      <c r="X155" s="34">
        <f>21</f>
        <v>21</v>
      </c>
    </row>
    <row r="156" spans="1:24">
      <c r="A156" s="25" t="s">
        <v>1167</v>
      </c>
      <c r="B156" s="25" t="s">
        <v>423</v>
      </c>
      <c r="C156" s="25" t="s">
        <v>424</v>
      </c>
      <c r="D156" s="25" t="s">
        <v>425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2600</f>
        <v>2600</v>
      </c>
      <c r="L156" s="32" t="s">
        <v>1110</v>
      </c>
      <c r="M156" s="31">
        <f>2983.5</f>
        <v>2983.5</v>
      </c>
      <c r="N156" s="32" t="s">
        <v>1112</v>
      </c>
      <c r="O156" s="31">
        <f>2500</f>
        <v>2500</v>
      </c>
      <c r="P156" s="32" t="s">
        <v>1113</v>
      </c>
      <c r="Q156" s="31">
        <f>2635</f>
        <v>2635</v>
      </c>
      <c r="R156" s="32" t="s">
        <v>681</v>
      </c>
      <c r="S156" s="33">
        <f>2619.24</f>
        <v>2619.2399999999998</v>
      </c>
      <c r="T156" s="30">
        <f>18610</f>
        <v>18610</v>
      </c>
      <c r="U156" s="30" t="str">
        <f>"－"</f>
        <v>－</v>
      </c>
      <c r="V156" s="30">
        <f>49817035</f>
        <v>49817035</v>
      </c>
      <c r="W156" s="30" t="str">
        <f>"－"</f>
        <v>－</v>
      </c>
      <c r="X156" s="34">
        <f>21</f>
        <v>21</v>
      </c>
    </row>
    <row r="157" spans="1:24">
      <c r="A157" s="25" t="s">
        <v>1167</v>
      </c>
      <c r="B157" s="25" t="s">
        <v>426</v>
      </c>
      <c r="C157" s="25" t="s">
        <v>427</v>
      </c>
      <c r="D157" s="25" t="s">
        <v>428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969.8</f>
        <v>969.8</v>
      </c>
      <c r="L157" s="32" t="s">
        <v>1110</v>
      </c>
      <c r="M157" s="31">
        <f>1022</f>
        <v>1022</v>
      </c>
      <c r="N157" s="32" t="s">
        <v>883</v>
      </c>
      <c r="O157" s="31">
        <f>946.8</f>
        <v>946.8</v>
      </c>
      <c r="P157" s="32" t="s">
        <v>1116</v>
      </c>
      <c r="Q157" s="31">
        <f>999.7</f>
        <v>999.7</v>
      </c>
      <c r="R157" s="32" t="s">
        <v>681</v>
      </c>
      <c r="S157" s="33">
        <f>983.52</f>
        <v>983.52</v>
      </c>
      <c r="T157" s="30">
        <f>66380</f>
        <v>66380</v>
      </c>
      <c r="U157" s="30" t="str">
        <f>"－"</f>
        <v>－</v>
      </c>
      <c r="V157" s="30">
        <f>65429745</f>
        <v>65429745</v>
      </c>
      <c r="W157" s="30" t="str">
        <f>"－"</f>
        <v>－</v>
      </c>
      <c r="X157" s="34">
        <f>21</f>
        <v>21</v>
      </c>
    </row>
    <row r="158" spans="1:24">
      <c r="A158" s="25" t="s">
        <v>1167</v>
      </c>
      <c r="B158" s="25" t="s">
        <v>429</v>
      </c>
      <c r="C158" s="25" t="s">
        <v>430</v>
      </c>
      <c r="D158" s="25" t="s">
        <v>431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603.1</f>
        <v>603.1</v>
      </c>
      <c r="L158" s="32" t="s">
        <v>1110</v>
      </c>
      <c r="M158" s="31">
        <f>674.6</f>
        <v>674.6</v>
      </c>
      <c r="N158" s="32" t="s">
        <v>1114</v>
      </c>
      <c r="O158" s="31">
        <f>603.1</f>
        <v>603.1</v>
      </c>
      <c r="P158" s="32" t="s">
        <v>1110</v>
      </c>
      <c r="Q158" s="31">
        <f>647.9</f>
        <v>647.9</v>
      </c>
      <c r="R158" s="32" t="s">
        <v>681</v>
      </c>
      <c r="S158" s="33">
        <f>645</f>
        <v>645</v>
      </c>
      <c r="T158" s="30">
        <f>396200</f>
        <v>396200</v>
      </c>
      <c r="U158" s="30" t="str">
        <f>"－"</f>
        <v>－</v>
      </c>
      <c r="V158" s="30">
        <f>259873017</f>
        <v>259873017</v>
      </c>
      <c r="W158" s="30" t="str">
        <f>"－"</f>
        <v>－</v>
      </c>
      <c r="X158" s="34">
        <f>21</f>
        <v>21</v>
      </c>
    </row>
    <row r="159" spans="1:24">
      <c r="A159" s="25" t="s">
        <v>1167</v>
      </c>
      <c r="B159" s="25" t="s">
        <v>432</v>
      </c>
      <c r="C159" s="25" t="s">
        <v>433</v>
      </c>
      <c r="D159" s="25" t="s">
        <v>434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</v>
      </c>
      <c r="K159" s="31">
        <f>1240</f>
        <v>1240</v>
      </c>
      <c r="L159" s="32" t="s">
        <v>1110</v>
      </c>
      <c r="M159" s="31">
        <f>1610</f>
        <v>1610</v>
      </c>
      <c r="N159" s="32" t="s">
        <v>778</v>
      </c>
      <c r="O159" s="31">
        <f>1201</f>
        <v>1201</v>
      </c>
      <c r="P159" s="32" t="s">
        <v>1116</v>
      </c>
      <c r="Q159" s="31">
        <f>1363</f>
        <v>1363</v>
      </c>
      <c r="R159" s="32" t="s">
        <v>681</v>
      </c>
      <c r="S159" s="33">
        <f>1399.52</f>
        <v>1399.52</v>
      </c>
      <c r="T159" s="30">
        <f>1764666</f>
        <v>1764666</v>
      </c>
      <c r="U159" s="30">
        <f>43</f>
        <v>43</v>
      </c>
      <c r="V159" s="30">
        <f>2497864530</f>
        <v>2497864530</v>
      </c>
      <c r="W159" s="30">
        <f>60974</f>
        <v>60974</v>
      </c>
      <c r="X159" s="34">
        <f>21</f>
        <v>21</v>
      </c>
    </row>
    <row r="160" spans="1:24">
      <c r="A160" s="25" t="s">
        <v>1167</v>
      </c>
      <c r="B160" s="25" t="s">
        <v>435</v>
      </c>
      <c r="C160" s="25" t="s">
        <v>436</v>
      </c>
      <c r="D160" s="25" t="s">
        <v>437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10</v>
      </c>
      <c r="K160" s="31">
        <f>1646</f>
        <v>1646</v>
      </c>
      <c r="L160" s="32" t="s">
        <v>1110</v>
      </c>
      <c r="M160" s="31">
        <f>1659.5</f>
        <v>1659.5</v>
      </c>
      <c r="N160" s="32" t="s">
        <v>1113</v>
      </c>
      <c r="O160" s="31">
        <f>1542.5</f>
        <v>1542.5</v>
      </c>
      <c r="P160" s="32" t="s">
        <v>1110</v>
      </c>
      <c r="Q160" s="31">
        <f>1577</f>
        <v>1577</v>
      </c>
      <c r="R160" s="32" t="s">
        <v>681</v>
      </c>
      <c r="S160" s="33">
        <f>1581.83</f>
        <v>1581.83</v>
      </c>
      <c r="T160" s="30">
        <f>53930</f>
        <v>53930</v>
      </c>
      <c r="U160" s="30" t="str">
        <f t="shared" ref="U160:U167" si="1">"－"</f>
        <v>－</v>
      </c>
      <c r="V160" s="30">
        <f>85383525</f>
        <v>85383525</v>
      </c>
      <c r="W160" s="30" t="str">
        <f t="shared" ref="W160:W167" si="2">"－"</f>
        <v>－</v>
      </c>
      <c r="X160" s="34">
        <f>21</f>
        <v>21</v>
      </c>
    </row>
    <row r="161" spans="1:24">
      <c r="A161" s="25" t="s">
        <v>1167</v>
      </c>
      <c r="B161" s="25" t="s">
        <v>438</v>
      </c>
      <c r="C161" s="25" t="s">
        <v>439</v>
      </c>
      <c r="D161" s="25" t="s">
        <v>440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</v>
      </c>
      <c r="K161" s="31">
        <f>9230</f>
        <v>9230</v>
      </c>
      <c r="L161" s="32" t="s">
        <v>1110</v>
      </c>
      <c r="M161" s="31">
        <f>9365</f>
        <v>9365</v>
      </c>
      <c r="N161" s="32" t="s">
        <v>1113</v>
      </c>
      <c r="O161" s="31">
        <f>8210</f>
        <v>8210</v>
      </c>
      <c r="P161" s="32" t="s">
        <v>681</v>
      </c>
      <c r="Q161" s="31">
        <f>8321</f>
        <v>8321</v>
      </c>
      <c r="R161" s="32" t="s">
        <v>681</v>
      </c>
      <c r="S161" s="33">
        <f>8642.33</f>
        <v>8642.33</v>
      </c>
      <c r="T161" s="30">
        <f>1974</f>
        <v>1974</v>
      </c>
      <c r="U161" s="30" t="str">
        <f t="shared" si="1"/>
        <v>－</v>
      </c>
      <c r="V161" s="30">
        <f>17073799</f>
        <v>17073799</v>
      </c>
      <c r="W161" s="30" t="str">
        <f t="shared" si="2"/>
        <v>－</v>
      </c>
      <c r="X161" s="34">
        <f>18</f>
        <v>18</v>
      </c>
    </row>
    <row r="162" spans="1:24">
      <c r="A162" s="25" t="s">
        <v>1167</v>
      </c>
      <c r="B162" s="25" t="s">
        <v>441</v>
      </c>
      <c r="C162" s="25" t="s">
        <v>442</v>
      </c>
      <c r="D162" s="25" t="s">
        <v>443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100</v>
      </c>
      <c r="K162" s="31">
        <f>533.1</f>
        <v>533.1</v>
      </c>
      <c r="L162" s="32" t="s">
        <v>1110</v>
      </c>
      <c r="M162" s="31">
        <f>579.4</f>
        <v>579.4</v>
      </c>
      <c r="N162" s="32" t="s">
        <v>777</v>
      </c>
      <c r="O162" s="31">
        <f>513.8</f>
        <v>513.79999999999995</v>
      </c>
      <c r="P162" s="32" t="s">
        <v>1123</v>
      </c>
      <c r="Q162" s="31">
        <f>556.5</f>
        <v>556.5</v>
      </c>
      <c r="R162" s="32" t="s">
        <v>681</v>
      </c>
      <c r="S162" s="33">
        <f>539.09</f>
        <v>539.09</v>
      </c>
      <c r="T162" s="30">
        <f>151300</f>
        <v>151300</v>
      </c>
      <c r="U162" s="30" t="str">
        <f t="shared" si="1"/>
        <v>－</v>
      </c>
      <c r="V162" s="30">
        <f>82853870</f>
        <v>82853870</v>
      </c>
      <c r="W162" s="30" t="str">
        <f t="shared" si="2"/>
        <v>－</v>
      </c>
      <c r="X162" s="34">
        <f>21</f>
        <v>21</v>
      </c>
    </row>
    <row r="163" spans="1:24">
      <c r="A163" s="25" t="s">
        <v>1167</v>
      </c>
      <c r="B163" s="25" t="s">
        <v>444</v>
      </c>
      <c r="C163" s="25" t="s">
        <v>445</v>
      </c>
      <c r="D163" s="25" t="s">
        <v>446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6450</f>
        <v>6450</v>
      </c>
      <c r="L163" s="32" t="s">
        <v>1110</v>
      </c>
      <c r="M163" s="31">
        <f>7900</f>
        <v>7900</v>
      </c>
      <c r="N163" s="32" t="s">
        <v>760</v>
      </c>
      <c r="O163" s="31">
        <f>6285</f>
        <v>6285</v>
      </c>
      <c r="P163" s="32" t="s">
        <v>876</v>
      </c>
      <c r="Q163" s="31">
        <f>6539</f>
        <v>6539</v>
      </c>
      <c r="R163" s="32" t="s">
        <v>681</v>
      </c>
      <c r="S163" s="33">
        <f>6738.43</f>
        <v>6738.43</v>
      </c>
      <c r="T163" s="30">
        <f>327960</f>
        <v>327960</v>
      </c>
      <c r="U163" s="30" t="str">
        <f t="shared" si="1"/>
        <v>－</v>
      </c>
      <c r="V163" s="30">
        <f>2260042970</f>
        <v>2260042970</v>
      </c>
      <c r="W163" s="30" t="str">
        <f t="shared" si="2"/>
        <v>－</v>
      </c>
      <c r="X163" s="34">
        <f>21</f>
        <v>21</v>
      </c>
    </row>
    <row r="164" spans="1:24">
      <c r="A164" s="25" t="s">
        <v>1167</v>
      </c>
      <c r="B164" s="25" t="s">
        <v>447</v>
      </c>
      <c r="C164" s="25" t="s">
        <v>448</v>
      </c>
      <c r="D164" s="25" t="s">
        <v>449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</v>
      </c>
      <c r="K164" s="31">
        <f>2767</f>
        <v>2767</v>
      </c>
      <c r="L164" s="32" t="s">
        <v>1110</v>
      </c>
      <c r="M164" s="31">
        <f>3200</f>
        <v>3200</v>
      </c>
      <c r="N164" s="32" t="s">
        <v>1118</v>
      </c>
      <c r="O164" s="31">
        <f>2670.5</f>
        <v>2670.5</v>
      </c>
      <c r="P164" s="32" t="s">
        <v>1113</v>
      </c>
      <c r="Q164" s="31">
        <f>2905</f>
        <v>2905</v>
      </c>
      <c r="R164" s="32" t="s">
        <v>681</v>
      </c>
      <c r="S164" s="33">
        <f>2839.48</f>
        <v>2839.48</v>
      </c>
      <c r="T164" s="30">
        <f>46270</f>
        <v>46270</v>
      </c>
      <c r="U164" s="30" t="str">
        <f t="shared" si="1"/>
        <v>－</v>
      </c>
      <c r="V164" s="30">
        <f>133831825</f>
        <v>133831825</v>
      </c>
      <c r="W164" s="30" t="str">
        <f t="shared" si="2"/>
        <v>－</v>
      </c>
      <c r="X164" s="34">
        <f>21</f>
        <v>21</v>
      </c>
    </row>
    <row r="165" spans="1:24">
      <c r="A165" s="25" t="s">
        <v>1167</v>
      </c>
      <c r="B165" s="25" t="s">
        <v>450</v>
      </c>
      <c r="C165" s="25" t="s">
        <v>451</v>
      </c>
      <c r="D165" s="25" t="s">
        <v>452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3845</f>
        <v>3845</v>
      </c>
      <c r="L165" s="32" t="s">
        <v>1110</v>
      </c>
      <c r="M165" s="31">
        <f>4585</f>
        <v>4585</v>
      </c>
      <c r="N165" s="32" t="s">
        <v>1114</v>
      </c>
      <c r="O165" s="31">
        <f>3765</f>
        <v>3765</v>
      </c>
      <c r="P165" s="32" t="s">
        <v>1116</v>
      </c>
      <c r="Q165" s="31">
        <f>4380</f>
        <v>4380</v>
      </c>
      <c r="R165" s="32" t="s">
        <v>681</v>
      </c>
      <c r="S165" s="33">
        <f>4254.29</f>
        <v>4254.29</v>
      </c>
      <c r="T165" s="30">
        <f>287636</f>
        <v>287636</v>
      </c>
      <c r="U165" s="30" t="str">
        <f t="shared" si="1"/>
        <v>－</v>
      </c>
      <c r="V165" s="30">
        <f>1230085450</f>
        <v>1230085450</v>
      </c>
      <c r="W165" s="30" t="str">
        <f t="shared" si="2"/>
        <v>－</v>
      </c>
      <c r="X165" s="34">
        <f>21</f>
        <v>21</v>
      </c>
    </row>
    <row r="166" spans="1:24">
      <c r="A166" s="25" t="s">
        <v>1167</v>
      </c>
      <c r="B166" s="25" t="s">
        <v>453</v>
      </c>
      <c r="C166" s="25" t="s">
        <v>454</v>
      </c>
      <c r="D166" s="25" t="s">
        <v>455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</v>
      </c>
      <c r="K166" s="31">
        <f>3425</f>
        <v>3425</v>
      </c>
      <c r="L166" s="32" t="s">
        <v>1110</v>
      </c>
      <c r="M166" s="31">
        <f>3630</f>
        <v>3630</v>
      </c>
      <c r="N166" s="32" t="s">
        <v>1117</v>
      </c>
      <c r="O166" s="31">
        <f>3425</f>
        <v>3425</v>
      </c>
      <c r="P166" s="32" t="s">
        <v>1110</v>
      </c>
      <c r="Q166" s="31">
        <f>3460</f>
        <v>3460</v>
      </c>
      <c r="R166" s="32" t="s">
        <v>681</v>
      </c>
      <c r="S166" s="33">
        <f>3527.86</f>
        <v>3527.86</v>
      </c>
      <c r="T166" s="30">
        <f>47206</f>
        <v>47206</v>
      </c>
      <c r="U166" s="30" t="str">
        <f t="shared" si="1"/>
        <v>－</v>
      </c>
      <c r="V166" s="30">
        <f>166570165</f>
        <v>166570165</v>
      </c>
      <c r="W166" s="30" t="str">
        <f t="shared" si="2"/>
        <v>－</v>
      </c>
      <c r="X166" s="34">
        <f>21</f>
        <v>21</v>
      </c>
    </row>
    <row r="167" spans="1:24">
      <c r="A167" s="25" t="s">
        <v>1167</v>
      </c>
      <c r="B167" s="25" t="s">
        <v>456</v>
      </c>
      <c r="C167" s="25" t="s">
        <v>457</v>
      </c>
      <c r="D167" s="25" t="s">
        <v>458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4390</f>
        <v>4390</v>
      </c>
      <c r="L167" s="32" t="s">
        <v>1110</v>
      </c>
      <c r="M167" s="31">
        <f>4705</f>
        <v>4705</v>
      </c>
      <c r="N167" s="32" t="s">
        <v>1114</v>
      </c>
      <c r="O167" s="31">
        <f>4300</f>
        <v>4300</v>
      </c>
      <c r="P167" s="32" t="s">
        <v>1116</v>
      </c>
      <c r="Q167" s="31">
        <f>4570</f>
        <v>4570</v>
      </c>
      <c r="R167" s="32" t="s">
        <v>681</v>
      </c>
      <c r="S167" s="33">
        <f>4565.52</f>
        <v>4565.5200000000004</v>
      </c>
      <c r="T167" s="30">
        <f>22380</f>
        <v>22380</v>
      </c>
      <c r="U167" s="30" t="str">
        <f t="shared" si="1"/>
        <v>－</v>
      </c>
      <c r="V167" s="30">
        <f>102426320</f>
        <v>102426320</v>
      </c>
      <c r="W167" s="30" t="str">
        <f t="shared" si="2"/>
        <v>－</v>
      </c>
      <c r="X167" s="34">
        <f>21</f>
        <v>21</v>
      </c>
    </row>
    <row r="168" spans="1:24">
      <c r="A168" s="25" t="s">
        <v>1167</v>
      </c>
      <c r="B168" s="25" t="s">
        <v>459</v>
      </c>
      <c r="C168" s="25" t="s">
        <v>460</v>
      </c>
      <c r="D168" s="25" t="s">
        <v>979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3036</f>
        <v>3036</v>
      </c>
      <c r="L168" s="32" t="s">
        <v>1110</v>
      </c>
      <c r="M168" s="31">
        <f>3100</f>
        <v>3100</v>
      </c>
      <c r="N168" s="32" t="s">
        <v>883</v>
      </c>
      <c r="O168" s="31">
        <f>3007</f>
        <v>3007</v>
      </c>
      <c r="P168" s="32" t="s">
        <v>1113</v>
      </c>
      <c r="Q168" s="31">
        <f>3093</f>
        <v>3093</v>
      </c>
      <c r="R168" s="32" t="s">
        <v>681</v>
      </c>
      <c r="S168" s="33">
        <f>3057.81</f>
        <v>3057.81</v>
      </c>
      <c r="T168" s="30">
        <f>221490</f>
        <v>221490</v>
      </c>
      <c r="U168" s="30">
        <f>33670</f>
        <v>33670</v>
      </c>
      <c r="V168" s="30">
        <f>675999700</f>
        <v>675999700</v>
      </c>
      <c r="W168" s="30">
        <f>102993650</f>
        <v>102993650</v>
      </c>
      <c r="X168" s="34">
        <f>21</f>
        <v>21</v>
      </c>
    </row>
    <row r="169" spans="1:24">
      <c r="A169" s="25" t="s">
        <v>1167</v>
      </c>
      <c r="B169" s="25" t="s">
        <v>461</v>
      </c>
      <c r="C169" s="25" t="s">
        <v>980</v>
      </c>
      <c r="D169" s="25" t="s">
        <v>981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449.6</f>
        <v>449.6</v>
      </c>
      <c r="L169" s="32" t="s">
        <v>1110</v>
      </c>
      <c r="M169" s="31">
        <f>450.2</f>
        <v>450.2</v>
      </c>
      <c r="N169" s="32" t="s">
        <v>883</v>
      </c>
      <c r="O169" s="31">
        <f>428.8</f>
        <v>428.8</v>
      </c>
      <c r="P169" s="32" t="s">
        <v>1113</v>
      </c>
      <c r="Q169" s="31">
        <f>436.5</f>
        <v>436.5</v>
      </c>
      <c r="R169" s="32" t="s">
        <v>681</v>
      </c>
      <c r="S169" s="33">
        <f>436.97</f>
        <v>436.97</v>
      </c>
      <c r="T169" s="30">
        <f>15550150</f>
        <v>15550150</v>
      </c>
      <c r="U169" s="30">
        <f>13780</f>
        <v>13780</v>
      </c>
      <c r="V169" s="30">
        <f>6784108759</f>
        <v>6784108759</v>
      </c>
      <c r="W169" s="30">
        <f>6022936</f>
        <v>6022936</v>
      </c>
      <c r="X169" s="34">
        <f>21</f>
        <v>21</v>
      </c>
    </row>
    <row r="170" spans="1:24">
      <c r="A170" s="25" t="s">
        <v>1167</v>
      </c>
      <c r="B170" s="25" t="s">
        <v>1132</v>
      </c>
      <c r="C170" s="25" t="s">
        <v>1131</v>
      </c>
      <c r="D170" s="25" t="s">
        <v>1130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</v>
      </c>
      <c r="K170" s="31">
        <f>1988</f>
        <v>1988</v>
      </c>
      <c r="L170" s="32" t="s">
        <v>1110</v>
      </c>
      <c r="M170" s="31">
        <f>2006</f>
        <v>2006</v>
      </c>
      <c r="N170" s="32" t="s">
        <v>883</v>
      </c>
      <c r="O170" s="31">
        <f>1935</f>
        <v>1935</v>
      </c>
      <c r="P170" s="32" t="s">
        <v>760</v>
      </c>
      <c r="Q170" s="31">
        <f>2004</f>
        <v>2004</v>
      </c>
      <c r="R170" s="32" t="s">
        <v>681</v>
      </c>
      <c r="S170" s="33">
        <f>1967.62</f>
        <v>1967.62</v>
      </c>
      <c r="T170" s="30">
        <f>12684</f>
        <v>12684</v>
      </c>
      <c r="U170" s="30" t="str">
        <f>"－"</f>
        <v>－</v>
      </c>
      <c r="V170" s="30">
        <f>24995775</f>
        <v>24995775</v>
      </c>
      <c r="W170" s="30" t="str">
        <f>"－"</f>
        <v>－</v>
      </c>
      <c r="X170" s="34">
        <f>21</f>
        <v>21</v>
      </c>
    </row>
    <row r="171" spans="1:24">
      <c r="A171" s="25" t="s">
        <v>1167</v>
      </c>
      <c r="B171" s="25" t="s">
        <v>1147</v>
      </c>
      <c r="C171" s="25" t="s">
        <v>1148</v>
      </c>
      <c r="D171" s="25" t="s">
        <v>1149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</v>
      </c>
      <c r="K171" s="31">
        <f>996</f>
        <v>996</v>
      </c>
      <c r="L171" s="32" t="s">
        <v>1110</v>
      </c>
      <c r="M171" s="31">
        <f>1081</f>
        <v>1081</v>
      </c>
      <c r="N171" s="32" t="s">
        <v>883</v>
      </c>
      <c r="O171" s="31">
        <f>990</f>
        <v>990</v>
      </c>
      <c r="P171" s="32" t="s">
        <v>1116</v>
      </c>
      <c r="Q171" s="31">
        <f>1044</f>
        <v>1044</v>
      </c>
      <c r="R171" s="32" t="s">
        <v>681</v>
      </c>
      <c r="S171" s="33">
        <f>1040.29</f>
        <v>1040.29</v>
      </c>
      <c r="T171" s="30">
        <f>3943652</f>
        <v>3943652</v>
      </c>
      <c r="U171" s="30">
        <f>955403</f>
        <v>955403</v>
      </c>
      <c r="V171" s="30">
        <f>4106835218</f>
        <v>4106835218</v>
      </c>
      <c r="W171" s="30">
        <f>1004758780</f>
        <v>1004758780</v>
      </c>
      <c r="X171" s="34">
        <f>21</f>
        <v>21</v>
      </c>
    </row>
    <row r="172" spans="1:24">
      <c r="A172" s="25" t="s">
        <v>1167</v>
      </c>
      <c r="B172" s="25" t="s">
        <v>1151</v>
      </c>
      <c r="C172" s="25" t="s">
        <v>1152</v>
      </c>
      <c r="D172" s="25" t="s">
        <v>1153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286.1</f>
        <v>286.10000000000002</v>
      </c>
      <c r="L172" s="32" t="s">
        <v>1110</v>
      </c>
      <c r="M172" s="31">
        <f>301.3</f>
        <v>301.3</v>
      </c>
      <c r="N172" s="32" t="s">
        <v>760</v>
      </c>
      <c r="O172" s="31">
        <f>285</f>
        <v>285</v>
      </c>
      <c r="P172" s="32" t="s">
        <v>1110</v>
      </c>
      <c r="Q172" s="31">
        <f>289</f>
        <v>289</v>
      </c>
      <c r="R172" s="32" t="s">
        <v>681</v>
      </c>
      <c r="S172" s="33">
        <f>293.6</f>
        <v>293.60000000000002</v>
      </c>
      <c r="T172" s="30">
        <f>3732320</f>
        <v>3732320</v>
      </c>
      <c r="U172" s="30">
        <f>1700020</f>
        <v>1700020</v>
      </c>
      <c r="V172" s="30">
        <f>1098247342</f>
        <v>1098247342</v>
      </c>
      <c r="W172" s="30">
        <f>502000561</f>
        <v>502000561</v>
      </c>
      <c r="X172" s="34">
        <f>21</f>
        <v>21</v>
      </c>
    </row>
    <row r="173" spans="1:24">
      <c r="A173" s="25" t="s">
        <v>1167</v>
      </c>
      <c r="B173" s="25" t="s">
        <v>1154</v>
      </c>
      <c r="C173" s="25" t="s">
        <v>1155</v>
      </c>
      <c r="D173" s="25" t="s">
        <v>1156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298.5</f>
        <v>298.5</v>
      </c>
      <c r="L173" s="32" t="s">
        <v>1110</v>
      </c>
      <c r="M173" s="31">
        <f>310.5</f>
        <v>310.5</v>
      </c>
      <c r="N173" s="32" t="s">
        <v>1118</v>
      </c>
      <c r="O173" s="31">
        <f>295.2</f>
        <v>295.2</v>
      </c>
      <c r="P173" s="32" t="s">
        <v>1116</v>
      </c>
      <c r="Q173" s="31">
        <f>300.8</f>
        <v>300.8</v>
      </c>
      <c r="R173" s="32" t="s">
        <v>681</v>
      </c>
      <c r="S173" s="33">
        <f>304.4</f>
        <v>304.39999999999998</v>
      </c>
      <c r="T173" s="30">
        <f>1820400</f>
        <v>1820400</v>
      </c>
      <c r="U173" s="30">
        <f>16000</f>
        <v>16000</v>
      </c>
      <c r="V173" s="30">
        <f>552197728</f>
        <v>552197728</v>
      </c>
      <c r="W173" s="30">
        <f>4915800</f>
        <v>4915800</v>
      </c>
      <c r="X173" s="34">
        <f>21</f>
        <v>21</v>
      </c>
    </row>
    <row r="174" spans="1:24">
      <c r="A174" s="25" t="s">
        <v>1167</v>
      </c>
      <c r="B174" s="25" t="s">
        <v>1157</v>
      </c>
      <c r="C174" s="25" t="s">
        <v>1158</v>
      </c>
      <c r="D174" s="25" t="s">
        <v>1159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507.8</f>
        <v>507.8</v>
      </c>
      <c r="L174" s="32" t="s">
        <v>1110</v>
      </c>
      <c r="M174" s="31">
        <f>510.6</f>
        <v>510.6</v>
      </c>
      <c r="N174" s="32" t="s">
        <v>777</v>
      </c>
      <c r="O174" s="31">
        <f>498.5</f>
        <v>498.5</v>
      </c>
      <c r="P174" s="32" t="s">
        <v>1115</v>
      </c>
      <c r="Q174" s="31">
        <f>509.1</f>
        <v>509.1</v>
      </c>
      <c r="R174" s="32" t="s">
        <v>681</v>
      </c>
      <c r="S174" s="33">
        <f>503.89</f>
        <v>503.89</v>
      </c>
      <c r="T174" s="30">
        <f>986370</f>
        <v>986370</v>
      </c>
      <c r="U174" s="30">
        <f>980000</f>
        <v>980000</v>
      </c>
      <c r="V174" s="30">
        <f>501646229</f>
        <v>501646229</v>
      </c>
      <c r="W174" s="30">
        <f>498437800</f>
        <v>498437800</v>
      </c>
      <c r="X174" s="34">
        <f>15</f>
        <v>15</v>
      </c>
    </row>
    <row r="175" spans="1:24">
      <c r="A175" s="25" t="s">
        <v>1167</v>
      </c>
      <c r="B175" s="25" t="s">
        <v>1161</v>
      </c>
      <c r="C175" s="25" t="s">
        <v>1162</v>
      </c>
      <c r="D175" s="25" t="s">
        <v>1163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508.9</f>
        <v>508.9</v>
      </c>
      <c r="L175" s="32" t="s">
        <v>1110</v>
      </c>
      <c r="M175" s="31">
        <f>526.2</f>
        <v>526.20000000000005</v>
      </c>
      <c r="N175" s="32" t="s">
        <v>778</v>
      </c>
      <c r="O175" s="31">
        <f>504.3</f>
        <v>504.3</v>
      </c>
      <c r="P175" s="32" t="s">
        <v>1116</v>
      </c>
      <c r="Q175" s="31">
        <f>516.6</f>
        <v>516.6</v>
      </c>
      <c r="R175" s="32" t="s">
        <v>681</v>
      </c>
      <c r="S175" s="33">
        <f>517.57</f>
        <v>517.57000000000005</v>
      </c>
      <c r="T175" s="30">
        <f>31970</f>
        <v>31970</v>
      </c>
      <c r="U175" s="30" t="str">
        <f>"－"</f>
        <v>－</v>
      </c>
      <c r="V175" s="30">
        <f>16562994</f>
        <v>16562994</v>
      </c>
      <c r="W175" s="30" t="str">
        <f>"－"</f>
        <v>－</v>
      </c>
      <c r="X175" s="34">
        <f>21</f>
        <v>21</v>
      </c>
    </row>
    <row r="176" spans="1:24">
      <c r="A176" s="25" t="s">
        <v>1167</v>
      </c>
      <c r="B176" s="25" t="s">
        <v>1164</v>
      </c>
      <c r="C176" s="25" t="s">
        <v>1165</v>
      </c>
      <c r="D176" s="25" t="s">
        <v>1166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10</v>
      </c>
      <c r="K176" s="31">
        <f>501.7</f>
        <v>501.7</v>
      </c>
      <c r="L176" s="32" t="s">
        <v>1110</v>
      </c>
      <c r="M176" s="31">
        <f>523.5</f>
        <v>523.5</v>
      </c>
      <c r="N176" s="32" t="s">
        <v>760</v>
      </c>
      <c r="O176" s="31">
        <f>501.7</f>
        <v>501.7</v>
      </c>
      <c r="P176" s="32" t="s">
        <v>1110</v>
      </c>
      <c r="Q176" s="31">
        <f>504</f>
        <v>504</v>
      </c>
      <c r="R176" s="32" t="s">
        <v>681</v>
      </c>
      <c r="S176" s="33">
        <f>511.69</f>
        <v>511.69</v>
      </c>
      <c r="T176" s="30">
        <f>18210</f>
        <v>18210</v>
      </c>
      <c r="U176" s="30" t="str">
        <f>"－"</f>
        <v>－</v>
      </c>
      <c r="V176" s="30">
        <f>9300916</f>
        <v>9300916</v>
      </c>
      <c r="W176" s="30" t="str">
        <f>"－"</f>
        <v>－</v>
      </c>
      <c r="X176" s="34">
        <f>16</f>
        <v>16</v>
      </c>
    </row>
    <row r="177" spans="1:24">
      <c r="A177" s="25" t="s">
        <v>1167</v>
      </c>
      <c r="B177" s="25" t="s">
        <v>1168</v>
      </c>
      <c r="C177" s="25" t="s">
        <v>1169</v>
      </c>
      <c r="D177" s="25" t="s">
        <v>1170</v>
      </c>
      <c r="E177" s="26" t="s">
        <v>672</v>
      </c>
      <c r="F177" s="27" t="s">
        <v>673</v>
      </c>
      <c r="G177" s="28" t="s">
        <v>1171</v>
      </c>
      <c r="H177" s="29"/>
      <c r="I177" s="29" t="s">
        <v>44</v>
      </c>
      <c r="J177" s="30">
        <v>1</v>
      </c>
      <c r="K177" s="31">
        <f>1020</f>
        <v>1020</v>
      </c>
      <c r="L177" s="32" t="s">
        <v>778</v>
      </c>
      <c r="M177" s="31">
        <f>1065</f>
        <v>1065</v>
      </c>
      <c r="N177" s="32" t="s">
        <v>1111</v>
      </c>
      <c r="O177" s="31">
        <f>1004</f>
        <v>1004</v>
      </c>
      <c r="P177" s="32" t="s">
        <v>681</v>
      </c>
      <c r="Q177" s="31">
        <f>1011</f>
        <v>1011</v>
      </c>
      <c r="R177" s="32" t="s">
        <v>681</v>
      </c>
      <c r="S177" s="33">
        <f>1032.86</f>
        <v>1032.8599999999999</v>
      </c>
      <c r="T177" s="30">
        <f>2005748</f>
        <v>2005748</v>
      </c>
      <c r="U177" s="30">
        <f>453</f>
        <v>453</v>
      </c>
      <c r="V177" s="30">
        <f>2079644543</f>
        <v>2079644543</v>
      </c>
      <c r="W177" s="30">
        <f>465794</f>
        <v>465794</v>
      </c>
      <c r="X177" s="34">
        <f>7</f>
        <v>7</v>
      </c>
    </row>
    <row r="178" spans="1:24">
      <c r="A178" s="25" t="s">
        <v>1167</v>
      </c>
      <c r="B178" s="25" t="s">
        <v>1054</v>
      </c>
      <c r="C178" s="25" t="s">
        <v>1055</v>
      </c>
      <c r="D178" s="25" t="s">
        <v>1056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575</f>
        <v>575</v>
      </c>
      <c r="L178" s="32" t="s">
        <v>1110</v>
      </c>
      <c r="M178" s="31">
        <f>582.4</f>
        <v>582.4</v>
      </c>
      <c r="N178" s="32" t="s">
        <v>759</v>
      </c>
      <c r="O178" s="31">
        <f>551.6</f>
        <v>551.6</v>
      </c>
      <c r="P178" s="32" t="s">
        <v>777</v>
      </c>
      <c r="Q178" s="31">
        <f>570.9</f>
        <v>570.9</v>
      </c>
      <c r="R178" s="32" t="s">
        <v>681</v>
      </c>
      <c r="S178" s="33">
        <f>568.6</f>
        <v>568.6</v>
      </c>
      <c r="T178" s="30">
        <f>1279130</f>
        <v>1279130</v>
      </c>
      <c r="U178" s="30">
        <f>557860</f>
        <v>557860</v>
      </c>
      <c r="V178" s="30">
        <f>725028290</f>
        <v>725028290</v>
      </c>
      <c r="W178" s="30">
        <f>314935065</f>
        <v>314935065</v>
      </c>
      <c r="X178" s="34">
        <f>21</f>
        <v>21</v>
      </c>
    </row>
    <row r="179" spans="1:24">
      <c r="A179" s="25" t="s">
        <v>1167</v>
      </c>
      <c r="B179" s="25" t="s">
        <v>1083</v>
      </c>
      <c r="C179" s="25" t="s">
        <v>1084</v>
      </c>
      <c r="D179" s="25" t="s">
        <v>1085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217.9</f>
        <v>217.9</v>
      </c>
      <c r="L179" s="32" t="s">
        <v>1110</v>
      </c>
      <c r="M179" s="31">
        <f>218</f>
        <v>218</v>
      </c>
      <c r="N179" s="32" t="s">
        <v>777</v>
      </c>
      <c r="O179" s="31">
        <f>211.9</f>
        <v>211.9</v>
      </c>
      <c r="P179" s="32" t="s">
        <v>1115</v>
      </c>
      <c r="Q179" s="31">
        <f>217</f>
        <v>217</v>
      </c>
      <c r="R179" s="32" t="s">
        <v>681</v>
      </c>
      <c r="S179" s="33">
        <f>215.66</f>
        <v>215.66</v>
      </c>
      <c r="T179" s="30">
        <f>23858350</f>
        <v>23858350</v>
      </c>
      <c r="U179" s="30">
        <f>22650000</f>
        <v>22650000</v>
      </c>
      <c r="V179" s="30">
        <f>5181765785</f>
        <v>5181765785</v>
      </c>
      <c r="W179" s="30">
        <f>4921114500</f>
        <v>4921114500</v>
      </c>
      <c r="X179" s="34">
        <f>21</f>
        <v>21</v>
      </c>
    </row>
    <row r="180" spans="1:24">
      <c r="A180" s="25" t="s">
        <v>1167</v>
      </c>
      <c r="B180" s="25" t="s">
        <v>1087</v>
      </c>
      <c r="C180" s="25" t="s">
        <v>1088</v>
      </c>
      <c r="D180" s="25" t="s">
        <v>1089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228</f>
        <v>228</v>
      </c>
      <c r="L180" s="32" t="s">
        <v>1110</v>
      </c>
      <c r="M180" s="31">
        <f>232.3</f>
        <v>232.3</v>
      </c>
      <c r="N180" s="32" t="s">
        <v>1118</v>
      </c>
      <c r="O180" s="31">
        <f>224</f>
        <v>224</v>
      </c>
      <c r="P180" s="32" t="s">
        <v>1115</v>
      </c>
      <c r="Q180" s="31">
        <f>225.7</f>
        <v>225.7</v>
      </c>
      <c r="R180" s="32" t="s">
        <v>681</v>
      </c>
      <c r="S180" s="33">
        <f>228.47</f>
        <v>228.47</v>
      </c>
      <c r="T180" s="30">
        <f>4893170</f>
        <v>4893170</v>
      </c>
      <c r="U180" s="30">
        <f>160</f>
        <v>160</v>
      </c>
      <c r="V180" s="30">
        <f>1116054374</f>
        <v>1116054374</v>
      </c>
      <c r="W180" s="30">
        <f>36072</f>
        <v>36072</v>
      </c>
      <c r="X180" s="34">
        <f>21</f>
        <v>21</v>
      </c>
    </row>
    <row r="181" spans="1:24">
      <c r="A181" s="25" t="s">
        <v>1167</v>
      </c>
      <c r="B181" s="25" t="s">
        <v>1090</v>
      </c>
      <c r="C181" s="25" t="s">
        <v>1091</v>
      </c>
      <c r="D181" s="25" t="s">
        <v>1092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225.6</f>
        <v>225.6</v>
      </c>
      <c r="L181" s="32" t="s">
        <v>1110</v>
      </c>
      <c r="M181" s="31">
        <f>233.2</f>
        <v>233.2</v>
      </c>
      <c r="N181" s="32" t="s">
        <v>778</v>
      </c>
      <c r="O181" s="31">
        <f>222.6</f>
        <v>222.6</v>
      </c>
      <c r="P181" s="32" t="s">
        <v>1116</v>
      </c>
      <c r="Q181" s="31">
        <f>226.8</f>
        <v>226.8</v>
      </c>
      <c r="R181" s="32" t="s">
        <v>681</v>
      </c>
      <c r="S181" s="33">
        <f>228.88</f>
        <v>228.88</v>
      </c>
      <c r="T181" s="30">
        <f>7733400</f>
        <v>7733400</v>
      </c>
      <c r="U181" s="30">
        <f>30</f>
        <v>30</v>
      </c>
      <c r="V181" s="30">
        <f>1766278366</f>
        <v>1766278366</v>
      </c>
      <c r="W181" s="30">
        <f>6814</f>
        <v>6814</v>
      </c>
      <c r="X181" s="34">
        <f>21</f>
        <v>21</v>
      </c>
    </row>
    <row r="182" spans="1:24">
      <c r="A182" s="25" t="s">
        <v>1167</v>
      </c>
      <c r="B182" s="25" t="s">
        <v>1093</v>
      </c>
      <c r="C182" s="25" t="s">
        <v>1094</v>
      </c>
      <c r="D182" s="25" t="s">
        <v>1095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2066</f>
        <v>2066</v>
      </c>
      <c r="L182" s="32" t="s">
        <v>1110</v>
      </c>
      <c r="M182" s="31">
        <f>2096</f>
        <v>2096</v>
      </c>
      <c r="N182" s="32" t="s">
        <v>875</v>
      </c>
      <c r="O182" s="31">
        <f>2043</f>
        <v>2043</v>
      </c>
      <c r="P182" s="32" t="s">
        <v>1115</v>
      </c>
      <c r="Q182" s="31">
        <f>2067</f>
        <v>2067</v>
      </c>
      <c r="R182" s="32" t="s">
        <v>681</v>
      </c>
      <c r="S182" s="33">
        <f>2075.43</f>
        <v>2075.4299999999998</v>
      </c>
      <c r="T182" s="30">
        <f>37106</f>
        <v>37106</v>
      </c>
      <c r="U182" s="30">
        <f>25029</f>
        <v>25029</v>
      </c>
      <c r="V182" s="30">
        <f>76775832</f>
        <v>76775832</v>
      </c>
      <c r="W182" s="30">
        <f>51734943</f>
        <v>51734943</v>
      </c>
      <c r="X182" s="34">
        <f>21</f>
        <v>21</v>
      </c>
    </row>
    <row r="183" spans="1:24">
      <c r="A183" s="25" t="s">
        <v>1167</v>
      </c>
      <c r="B183" s="25" t="s">
        <v>1096</v>
      </c>
      <c r="C183" s="25" t="s">
        <v>1097</v>
      </c>
      <c r="D183" s="25" t="s">
        <v>1098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1901</f>
        <v>1901</v>
      </c>
      <c r="L183" s="32" t="s">
        <v>1110</v>
      </c>
      <c r="M183" s="31">
        <f>1948</f>
        <v>1948</v>
      </c>
      <c r="N183" s="32" t="s">
        <v>760</v>
      </c>
      <c r="O183" s="31">
        <f>1894</f>
        <v>1894</v>
      </c>
      <c r="P183" s="32" t="s">
        <v>777</v>
      </c>
      <c r="Q183" s="31">
        <f>1906</f>
        <v>1906</v>
      </c>
      <c r="R183" s="32" t="s">
        <v>681</v>
      </c>
      <c r="S183" s="33">
        <f>1922.71</f>
        <v>1922.71</v>
      </c>
      <c r="T183" s="30">
        <f>20420</f>
        <v>20420</v>
      </c>
      <c r="U183" s="30">
        <f>1323</f>
        <v>1323</v>
      </c>
      <c r="V183" s="30">
        <f>39312745</f>
        <v>39312745</v>
      </c>
      <c r="W183" s="30">
        <f>2521638</f>
        <v>2521638</v>
      </c>
      <c r="X183" s="34">
        <f>21</f>
        <v>21</v>
      </c>
    </row>
    <row r="184" spans="1:24">
      <c r="A184" s="25" t="s">
        <v>1167</v>
      </c>
      <c r="B184" s="25" t="s">
        <v>1099</v>
      </c>
      <c r="C184" s="25" t="s">
        <v>1100</v>
      </c>
      <c r="D184" s="25" t="s">
        <v>1101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1052</f>
        <v>1052</v>
      </c>
      <c r="L184" s="32" t="s">
        <v>1110</v>
      </c>
      <c r="M184" s="31">
        <f>1087</f>
        <v>1087</v>
      </c>
      <c r="N184" s="32" t="s">
        <v>1118</v>
      </c>
      <c r="O184" s="31">
        <f>1041</f>
        <v>1041</v>
      </c>
      <c r="P184" s="32" t="s">
        <v>759</v>
      </c>
      <c r="Q184" s="31">
        <f>1073</f>
        <v>1073</v>
      </c>
      <c r="R184" s="32" t="s">
        <v>681</v>
      </c>
      <c r="S184" s="33">
        <f>1064.86</f>
        <v>1064.8599999999999</v>
      </c>
      <c r="T184" s="30">
        <f>3472266</f>
        <v>3472266</v>
      </c>
      <c r="U184" s="30">
        <f>468127</f>
        <v>468127</v>
      </c>
      <c r="V184" s="30">
        <f>3700092847</f>
        <v>3700092847</v>
      </c>
      <c r="W184" s="30">
        <f>502521842</f>
        <v>502521842</v>
      </c>
      <c r="X184" s="34">
        <f>21</f>
        <v>21</v>
      </c>
    </row>
    <row r="185" spans="1:24">
      <c r="A185" s="25" t="s">
        <v>1167</v>
      </c>
      <c r="B185" s="25" t="s">
        <v>1103</v>
      </c>
      <c r="C185" s="25" t="s">
        <v>1104</v>
      </c>
      <c r="D185" s="25" t="s">
        <v>1105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1000</f>
        <v>1000</v>
      </c>
      <c r="L185" s="32" t="s">
        <v>1110</v>
      </c>
      <c r="M185" s="31">
        <f>1067</f>
        <v>1067</v>
      </c>
      <c r="N185" s="32" t="s">
        <v>1118</v>
      </c>
      <c r="O185" s="31">
        <f>987</f>
        <v>987</v>
      </c>
      <c r="P185" s="32" t="s">
        <v>1116</v>
      </c>
      <c r="Q185" s="31">
        <f>1031</f>
        <v>1031</v>
      </c>
      <c r="R185" s="32" t="s">
        <v>681</v>
      </c>
      <c r="S185" s="33">
        <f>1031.38</f>
        <v>1031.3800000000001</v>
      </c>
      <c r="T185" s="30">
        <f>46864</f>
        <v>46864</v>
      </c>
      <c r="U185" s="30" t="str">
        <f>"－"</f>
        <v>－</v>
      </c>
      <c r="V185" s="30">
        <f>48174548</f>
        <v>48174548</v>
      </c>
      <c r="W185" s="30" t="str">
        <f>"－"</f>
        <v>－</v>
      </c>
      <c r="X185" s="34">
        <f>21</f>
        <v>21</v>
      </c>
    </row>
    <row r="186" spans="1:24">
      <c r="A186" s="25" t="s">
        <v>1167</v>
      </c>
      <c r="B186" s="25" t="s">
        <v>1106</v>
      </c>
      <c r="C186" s="25" t="s">
        <v>1107</v>
      </c>
      <c r="D186" s="25" t="s">
        <v>1108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1049</f>
        <v>1049</v>
      </c>
      <c r="L186" s="32" t="s">
        <v>1110</v>
      </c>
      <c r="M186" s="31">
        <f>1068</f>
        <v>1068</v>
      </c>
      <c r="N186" s="32" t="s">
        <v>1112</v>
      </c>
      <c r="O186" s="31">
        <f>990</f>
        <v>990</v>
      </c>
      <c r="P186" s="32" t="s">
        <v>681</v>
      </c>
      <c r="Q186" s="31">
        <f>1042</f>
        <v>1042</v>
      </c>
      <c r="R186" s="32" t="s">
        <v>681</v>
      </c>
      <c r="S186" s="33">
        <f>1050.67</f>
        <v>1050.67</v>
      </c>
      <c r="T186" s="30">
        <f>134067</f>
        <v>134067</v>
      </c>
      <c r="U186" s="30">
        <f>31153</f>
        <v>31153</v>
      </c>
      <c r="V186" s="30">
        <f>139725663</f>
        <v>139725663</v>
      </c>
      <c r="W186" s="30">
        <f>32461426</f>
        <v>32461426</v>
      </c>
      <c r="X186" s="34">
        <f>21</f>
        <v>21</v>
      </c>
    </row>
    <row r="187" spans="1:24">
      <c r="A187" s="25" t="s">
        <v>1167</v>
      </c>
      <c r="B187" s="25" t="s">
        <v>462</v>
      </c>
      <c r="C187" s="25" t="s">
        <v>463</v>
      </c>
      <c r="D187" s="25" t="s">
        <v>464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4650</f>
        <v>4650</v>
      </c>
      <c r="L187" s="32" t="s">
        <v>1110</v>
      </c>
      <c r="M187" s="31">
        <f>5960</f>
        <v>5960</v>
      </c>
      <c r="N187" s="32" t="s">
        <v>1118</v>
      </c>
      <c r="O187" s="31">
        <f>4615</f>
        <v>4615</v>
      </c>
      <c r="P187" s="32" t="s">
        <v>1110</v>
      </c>
      <c r="Q187" s="31">
        <f>5110</f>
        <v>5110</v>
      </c>
      <c r="R187" s="32" t="s">
        <v>681</v>
      </c>
      <c r="S187" s="33">
        <f>5327.14</f>
        <v>5327.14</v>
      </c>
      <c r="T187" s="30">
        <f>185915</f>
        <v>185915</v>
      </c>
      <c r="U187" s="30" t="str">
        <f>"－"</f>
        <v>－</v>
      </c>
      <c r="V187" s="30">
        <f>992866590</f>
        <v>992866590</v>
      </c>
      <c r="W187" s="30" t="str">
        <f>"－"</f>
        <v>－</v>
      </c>
      <c r="X187" s="34">
        <f>21</f>
        <v>21</v>
      </c>
    </row>
    <row r="188" spans="1:24">
      <c r="A188" s="25" t="s">
        <v>1167</v>
      </c>
      <c r="B188" s="25" t="s">
        <v>466</v>
      </c>
      <c r="C188" s="25" t="s">
        <v>467</v>
      </c>
      <c r="D188" s="25" t="s">
        <v>468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9803</f>
        <v>9803</v>
      </c>
      <c r="L188" s="32" t="s">
        <v>1110</v>
      </c>
      <c r="M188" s="31">
        <f>9834</f>
        <v>9834</v>
      </c>
      <c r="N188" s="32" t="s">
        <v>1110</v>
      </c>
      <c r="O188" s="31">
        <f>8600</f>
        <v>8600</v>
      </c>
      <c r="P188" s="32" t="s">
        <v>1118</v>
      </c>
      <c r="Q188" s="31">
        <f>9246</f>
        <v>9246</v>
      </c>
      <c r="R188" s="32" t="s">
        <v>681</v>
      </c>
      <c r="S188" s="33">
        <f>9093.9</f>
        <v>9093.9</v>
      </c>
      <c r="T188" s="30">
        <f>8248</f>
        <v>8248</v>
      </c>
      <c r="U188" s="30" t="str">
        <f>"－"</f>
        <v>－</v>
      </c>
      <c r="V188" s="30">
        <f>75333473</f>
        <v>75333473</v>
      </c>
      <c r="W188" s="30" t="str">
        <f>"－"</f>
        <v>－</v>
      </c>
      <c r="X188" s="34">
        <f>21</f>
        <v>21</v>
      </c>
    </row>
    <row r="189" spans="1:24">
      <c r="A189" s="25" t="s">
        <v>1167</v>
      </c>
      <c r="B189" s="25" t="s">
        <v>469</v>
      </c>
      <c r="C189" s="25" t="s">
        <v>470</v>
      </c>
      <c r="D189" s="25" t="s">
        <v>471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14210</f>
        <v>14210</v>
      </c>
      <c r="L189" s="32" t="s">
        <v>1110</v>
      </c>
      <c r="M189" s="31">
        <f>15100</f>
        <v>15100</v>
      </c>
      <c r="N189" s="32" t="s">
        <v>760</v>
      </c>
      <c r="O189" s="31">
        <f>13600</f>
        <v>13600</v>
      </c>
      <c r="P189" s="32" t="s">
        <v>681</v>
      </c>
      <c r="Q189" s="31">
        <f>13600</f>
        <v>13600</v>
      </c>
      <c r="R189" s="32" t="s">
        <v>681</v>
      </c>
      <c r="S189" s="33">
        <f>14439.12</f>
        <v>14439.12</v>
      </c>
      <c r="T189" s="30">
        <f>1254</f>
        <v>1254</v>
      </c>
      <c r="U189" s="30" t="str">
        <f>"－"</f>
        <v>－</v>
      </c>
      <c r="V189" s="30">
        <f>17938220</f>
        <v>17938220</v>
      </c>
      <c r="W189" s="30" t="str">
        <f>"－"</f>
        <v>－</v>
      </c>
      <c r="X189" s="34">
        <f>17</f>
        <v>17</v>
      </c>
    </row>
    <row r="190" spans="1:24">
      <c r="A190" s="25" t="s">
        <v>1167</v>
      </c>
      <c r="B190" s="25" t="s">
        <v>472</v>
      </c>
      <c r="C190" s="25" t="s">
        <v>473</v>
      </c>
      <c r="D190" s="25" t="s">
        <v>474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7700</f>
        <v>7700</v>
      </c>
      <c r="L190" s="32" t="s">
        <v>1110</v>
      </c>
      <c r="M190" s="31">
        <f>7850</f>
        <v>7850</v>
      </c>
      <c r="N190" s="32" t="s">
        <v>777</v>
      </c>
      <c r="O190" s="31">
        <f>7450</f>
        <v>7450</v>
      </c>
      <c r="P190" s="32" t="s">
        <v>760</v>
      </c>
      <c r="Q190" s="31">
        <f>7750</f>
        <v>7750</v>
      </c>
      <c r="R190" s="32" t="s">
        <v>681</v>
      </c>
      <c r="S190" s="33">
        <f>7614.95</f>
        <v>7614.95</v>
      </c>
      <c r="T190" s="30">
        <f>4930</f>
        <v>4930</v>
      </c>
      <c r="U190" s="30" t="str">
        <f>"－"</f>
        <v>－</v>
      </c>
      <c r="V190" s="30">
        <f>37521385</f>
        <v>37521385</v>
      </c>
      <c r="W190" s="30" t="str">
        <f>"－"</f>
        <v>－</v>
      </c>
      <c r="X190" s="34">
        <f>21</f>
        <v>21</v>
      </c>
    </row>
    <row r="191" spans="1:24">
      <c r="A191" s="25" t="s">
        <v>1167</v>
      </c>
      <c r="B191" s="25" t="s">
        <v>475</v>
      </c>
      <c r="C191" s="25" t="s">
        <v>476</v>
      </c>
      <c r="D191" s="25" t="s">
        <v>477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55500</f>
        <v>55500</v>
      </c>
      <c r="L191" s="32" t="s">
        <v>1110</v>
      </c>
      <c r="M191" s="31">
        <f>61990</f>
        <v>61990</v>
      </c>
      <c r="N191" s="32" t="s">
        <v>1118</v>
      </c>
      <c r="O191" s="31">
        <f>54360</f>
        <v>54360</v>
      </c>
      <c r="P191" s="32" t="s">
        <v>1113</v>
      </c>
      <c r="Q191" s="31">
        <f>57970</f>
        <v>57970</v>
      </c>
      <c r="R191" s="32" t="s">
        <v>681</v>
      </c>
      <c r="S191" s="33">
        <f>57609.52</f>
        <v>57609.52</v>
      </c>
      <c r="T191" s="30">
        <f>106305</f>
        <v>106305</v>
      </c>
      <c r="U191" s="30">
        <f>89</f>
        <v>89</v>
      </c>
      <c r="V191" s="30">
        <f>6168811670</f>
        <v>6168811670</v>
      </c>
      <c r="W191" s="30">
        <f>5177120</f>
        <v>5177120</v>
      </c>
      <c r="X191" s="34">
        <f>21</f>
        <v>21</v>
      </c>
    </row>
    <row r="192" spans="1:24">
      <c r="A192" s="25" t="s">
        <v>1167</v>
      </c>
      <c r="B192" s="25" t="s">
        <v>478</v>
      </c>
      <c r="C192" s="25" t="s">
        <v>479</v>
      </c>
      <c r="D192" s="25" t="s">
        <v>480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2822</f>
        <v>2822</v>
      </c>
      <c r="L192" s="32" t="s">
        <v>1110</v>
      </c>
      <c r="M192" s="31">
        <f>2881</f>
        <v>2881</v>
      </c>
      <c r="N192" s="32" t="s">
        <v>1113</v>
      </c>
      <c r="O192" s="31">
        <f>2701</f>
        <v>2701</v>
      </c>
      <c r="P192" s="32" t="s">
        <v>874</v>
      </c>
      <c r="Q192" s="31">
        <f>2781</f>
        <v>2781</v>
      </c>
      <c r="R192" s="32" t="s">
        <v>681</v>
      </c>
      <c r="S192" s="33">
        <f>2790.19</f>
        <v>2790.19</v>
      </c>
      <c r="T192" s="30">
        <f>16799</f>
        <v>16799</v>
      </c>
      <c r="U192" s="30" t="str">
        <f>"－"</f>
        <v>－</v>
      </c>
      <c r="V192" s="30">
        <f>46853913</f>
        <v>46853913</v>
      </c>
      <c r="W192" s="30" t="str">
        <f>"－"</f>
        <v>－</v>
      </c>
      <c r="X192" s="34">
        <f>21</f>
        <v>21</v>
      </c>
    </row>
    <row r="193" spans="1:24">
      <c r="A193" s="25" t="s">
        <v>1167</v>
      </c>
      <c r="B193" s="25" t="s">
        <v>481</v>
      </c>
      <c r="C193" s="25" t="s">
        <v>482</v>
      </c>
      <c r="D193" s="25" t="s">
        <v>483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2404</f>
        <v>2404</v>
      </c>
      <c r="L193" s="32" t="s">
        <v>1110</v>
      </c>
      <c r="M193" s="31">
        <f>2411</f>
        <v>2411</v>
      </c>
      <c r="N193" s="32" t="s">
        <v>1110</v>
      </c>
      <c r="O193" s="31">
        <f>2195</f>
        <v>2195</v>
      </c>
      <c r="P193" s="32" t="s">
        <v>760</v>
      </c>
      <c r="Q193" s="31">
        <f>2298</f>
        <v>2298</v>
      </c>
      <c r="R193" s="32" t="s">
        <v>681</v>
      </c>
      <c r="S193" s="33">
        <f>2283.52</f>
        <v>2283.52</v>
      </c>
      <c r="T193" s="30">
        <f>7973496</f>
        <v>7973496</v>
      </c>
      <c r="U193" s="30">
        <f>93</f>
        <v>93</v>
      </c>
      <c r="V193" s="30">
        <f>18216735656</f>
        <v>18216735656</v>
      </c>
      <c r="W193" s="30">
        <f>212062</f>
        <v>212062</v>
      </c>
      <c r="X193" s="34">
        <f>21</f>
        <v>21</v>
      </c>
    </row>
    <row r="194" spans="1:24">
      <c r="A194" s="25" t="s">
        <v>1167</v>
      </c>
      <c r="B194" s="25" t="s">
        <v>484</v>
      </c>
      <c r="C194" s="25" t="s">
        <v>485</v>
      </c>
      <c r="D194" s="25" t="s">
        <v>486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911</f>
        <v>911</v>
      </c>
      <c r="L194" s="32" t="s">
        <v>1110</v>
      </c>
      <c r="M194" s="31">
        <f>945</f>
        <v>945</v>
      </c>
      <c r="N194" s="32" t="s">
        <v>1113</v>
      </c>
      <c r="O194" s="31">
        <f>896</f>
        <v>896</v>
      </c>
      <c r="P194" s="32" t="s">
        <v>883</v>
      </c>
      <c r="Q194" s="31">
        <f>921</f>
        <v>921</v>
      </c>
      <c r="R194" s="32" t="s">
        <v>681</v>
      </c>
      <c r="S194" s="33">
        <f>925.81</f>
        <v>925.81</v>
      </c>
      <c r="T194" s="30">
        <f>1191242</f>
        <v>1191242</v>
      </c>
      <c r="U194" s="30">
        <f>7</f>
        <v>7</v>
      </c>
      <c r="V194" s="30">
        <f>1102241923</f>
        <v>1102241923</v>
      </c>
      <c r="W194" s="30">
        <f>6504</f>
        <v>6504</v>
      </c>
      <c r="X194" s="34">
        <f>21</f>
        <v>21</v>
      </c>
    </row>
    <row r="195" spans="1:24">
      <c r="A195" s="25" t="s">
        <v>1167</v>
      </c>
      <c r="B195" s="25" t="s">
        <v>487</v>
      </c>
      <c r="C195" s="25" t="s">
        <v>488</v>
      </c>
      <c r="D195" s="25" t="s">
        <v>489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27000</f>
        <v>27000</v>
      </c>
      <c r="L195" s="32" t="s">
        <v>1110</v>
      </c>
      <c r="M195" s="31">
        <f>29580</f>
        <v>29580</v>
      </c>
      <c r="N195" s="32" t="s">
        <v>1118</v>
      </c>
      <c r="O195" s="31">
        <f>26950</f>
        <v>26950</v>
      </c>
      <c r="P195" s="32" t="s">
        <v>1110</v>
      </c>
      <c r="Q195" s="31">
        <f>27105</f>
        <v>27105</v>
      </c>
      <c r="R195" s="32" t="s">
        <v>681</v>
      </c>
      <c r="S195" s="33">
        <f>28440.95</f>
        <v>28440.95</v>
      </c>
      <c r="T195" s="30">
        <f>42465</f>
        <v>42465</v>
      </c>
      <c r="U195" s="30">
        <f>4</f>
        <v>4</v>
      </c>
      <c r="V195" s="30">
        <f>1199693870</f>
        <v>1199693870</v>
      </c>
      <c r="W195" s="30">
        <f>115965</f>
        <v>115965</v>
      </c>
      <c r="X195" s="34">
        <f>21</f>
        <v>21</v>
      </c>
    </row>
    <row r="196" spans="1:24">
      <c r="A196" s="25" t="s">
        <v>1167</v>
      </c>
      <c r="B196" s="25" t="s">
        <v>490</v>
      </c>
      <c r="C196" s="25" t="s">
        <v>491</v>
      </c>
      <c r="D196" s="25" t="s">
        <v>492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2644</f>
        <v>2644</v>
      </c>
      <c r="L196" s="32" t="s">
        <v>1110</v>
      </c>
      <c r="M196" s="31">
        <f>2650</f>
        <v>2650</v>
      </c>
      <c r="N196" s="32" t="s">
        <v>1110</v>
      </c>
      <c r="O196" s="31">
        <f>2497</f>
        <v>2497</v>
      </c>
      <c r="P196" s="32" t="s">
        <v>1118</v>
      </c>
      <c r="Q196" s="31">
        <f>2625</f>
        <v>2625</v>
      </c>
      <c r="R196" s="32" t="s">
        <v>681</v>
      </c>
      <c r="S196" s="33">
        <f>2560.48</f>
        <v>2560.48</v>
      </c>
      <c r="T196" s="30">
        <f>187233</f>
        <v>187233</v>
      </c>
      <c r="U196" s="30">
        <f>250</f>
        <v>250</v>
      </c>
      <c r="V196" s="30">
        <f>478982969</f>
        <v>478982969</v>
      </c>
      <c r="W196" s="30">
        <f>651230</f>
        <v>651230</v>
      </c>
      <c r="X196" s="34">
        <f>21</f>
        <v>21</v>
      </c>
    </row>
    <row r="197" spans="1:24">
      <c r="A197" s="25" t="s">
        <v>1167</v>
      </c>
      <c r="B197" s="25" t="s">
        <v>493</v>
      </c>
      <c r="C197" s="25" t="s">
        <v>1057</v>
      </c>
      <c r="D197" s="25" t="s">
        <v>1058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6822</f>
        <v>6822</v>
      </c>
      <c r="L197" s="32" t="s">
        <v>1110</v>
      </c>
      <c r="M197" s="31">
        <f>7102</f>
        <v>7102</v>
      </c>
      <c r="N197" s="32" t="s">
        <v>1113</v>
      </c>
      <c r="O197" s="31">
        <f>6265</f>
        <v>6265</v>
      </c>
      <c r="P197" s="32" t="s">
        <v>777</v>
      </c>
      <c r="Q197" s="31">
        <f>6508</f>
        <v>6508</v>
      </c>
      <c r="R197" s="32" t="s">
        <v>681</v>
      </c>
      <c r="S197" s="33">
        <f>6734.62</f>
        <v>6734.62</v>
      </c>
      <c r="T197" s="30">
        <f>105180</f>
        <v>105180</v>
      </c>
      <c r="U197" s="30" t="str">
        <f>"－"</f>
        <v>－</v>
      </c>
      <c r="V197" s="30">
        <f>690416277</f>
        <v>690416277</v>
      </c>
      <c r="W197" s="30" t="str">
        <f>"－"</f>
        <v>－</v>
      </c>
      <c r="X197" s="34">
        <f>21</f>
        <v>21</v>
      </c>
    </row>
    <row r="198" spans="1:24">
      <c r="A198" s="25" t="s">
        <v>1167</v>
      </c>
      <c r="B198" s="25" t="s">
        <v>494</v>
      </c>
      <c r="C198" s="25" t="s">
        <v>495</v>
      </c>
      <c r="D198" s="25" t="s">
        <v>496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18680</f>
        <v>18680</v>
      </c>
      <c r="L198" s="32" t="s">
        <v>1110</v>
      </c>
      <c r="M198" s="31">
        <f>19205</f>
        <v>19205</v>
      </c>
      <c r="N198" s="32" t="s">
        <v>683</v>
      </c>
      <c r="O198" s="31">
        <f>18275</f>
        <v>18275</v>
      </c>
      <c r="P198" s="32" t="s">
        <v>1123</v>
      </c>
      <c r="Q198" s="31">
        <f>18815</f>
        <v>18815</v>
      </c>
      <c r="R198" s="32" t="s">
        <v>681</v>
      </c>
      <c r="S198" s="33">
        <f>18860.79</f>
        <v>18860.79</v>
      </c>
      <c r="T198" s="30">
        <f>300</f>
        <v>300</v>
      </c>
      <c r="U198" s="30" t="str">
        <f>"－"</f>
        <v>－</v>
      </c>
      <c r="V198" s="30">
        <f>5666455</f>
        <v>5666455</v>
      </c>
      <c r="W198" s="30" t="str">
        <f>"－"</f>
        <v>－</v>
      </c>
      <c r="X198" s="34">
        <f>19</f>
        <v>19</v>
      </c>
    </row>
    <row r="199" spans="1:24">
      <c r="A199" s="25" t="s">
        <v>1167</v>
      </c>
      <c r="B199" s="25" t="s">
        <v>497</v>
      </c>
      <c r="C199" s="25" t="s">
        <v>498</v>
      </c>
      <c r="D199" s="25" t="s">
        <v>499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28930</f>
        <v>28930</v>
      </c>
      <c r="L199" s="32" t="s">
        <v>1110</v>
      </c>
      <c r="M199" s="31">
        <f>29730</f>
        <v>29730</v>
      </c>
      <c r="N199" s="32" t="s">
        <v>1118</v>
      </c>
      <c r="O199" s="31">
        <f>28485</f>
        <v>28485</v>
      </c>
      <c r="P199" s="32" t="s">
        <v>777</v>
      </c>
      <c r="Q199" s="31">
        <f>28695</f>
        <v>28695</v>
      </c>
      <c r="R199" s="32" t="s">
        <v>681</v>
      </c>
      <c r="S199" s="33">
        <f>29179.76</f>
        <v>29179.759999999998</v>
      </c>
      <c r="T199" s="30">
        <f>12072</f>
        <v>12072</v>
      </c>
      <c r="U199" s="30" t="str">
        <f>"－"</f>
        <v>－</v>
      </c>
      <c r="V199" s="30">
        <f>352149050</f>
        <v>352149050</v>
      </c>
      <c r="W199" s="30" t="str">
        <f>"－"</f>
        <v>－</v>
      </c>
      <c r="X199" s="34">
        <f>21</f>
        <v>21</v>
      </c>
    </row>
    <row r="200" spans="1:24">
      <c r="A200" s="25" t="s">
        <v>1167</v>
      </c>
      <c r="B200" s="25" t="s">
        <v>500</v>
      </c>
      <c r="C200" s="25" t="s">
        <v>501</v>
      </c>
      <c r="D200" s="25" t="s">
        <v>502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16070</f>
        <v>16070</v>
      </c>
      <c r="L200" s="32" t="s">
        <v>1110</v>
      </c>
      <c r="M200" s="31">
        <f>16445</f>
        <v>16445</v>
      </c>
      <c r="N200" s="32" t="s">
        <v>1112</v>
      </c>
      <c r="O200" s="31">
        <f>15840</f>
        <v>15840</v>
      </c>
      <c r="P200" s="32" t="s">
        <v>1115</v>
      </c>
      <c r="Q200" s="31">
        <f>16100</f>
        <v>16100</v>
      </c>
      <c r="R200" s="32" t="s">
        <v>681</v>
      </c>
      <c r="S200" s="33">
        <f>16172.22</f>
        <v>16172.22</v>
      </c>
      <c r="T200" s="30">
        <f>237</f>
        <v>237</v>
      </c>
      <c r="U200" s="30" t="str">
        <f>"－"</f>
        <v>－</v>
      </c>
      <c r="V200" s="30">
        <f>3836855</f>
        <v>3836855</v>
      </c>
      <c r="W200" s="30" t="str">
        <f>"－"</f>
        <v>－</v>
      </c>
      <c r="X200" s="34">
        <f>18</f>
        <v>18</v>
      </c>
    </row>
    <row r="201" spans="1:24">
      <c r="A201" s="25" t="s">
        <v>1167</v>
      </c>
      <c r="B201" s="25" t="s">
        <v>503</v>
      </c>
      <c r="C201" s="25" t="s">
        <v>504</v>
      </c>
      <c r="D201" s="25" t="s">
        <v>505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30790</f>
        <v>30790</v>
      </c>
      <c r="L201" s="32" t="s">
        <v>1110</v>
      </c>
      <c r="M201" s="31">
        <f>31980</f>
        <v>31980</v>
      </c>
      <c r="N201" s="32" t="s">
        <v>1114</v>
      </c>
      <c r="O201" s="31">
        <f>29115</f>
        <v>29115</v>
      </c>
      <c r="P201" s="32" t="s">
        <v>1123</v>
      </c>
      <c r="Q201" s="31">
        <f>31240</f>
        <v>31240</v>
      </c>
      <c r="R201" s="32" t="s">
        <v>681</v>
      </c>
      <c r="S201" s="33">
        <f>30547.38</f>
        <v>30547.38</v>
      </c>
      <c r="T201" s="30">
        <f>95466</f>
        <v>95466</v>
      </c>
      <c r="U201" s="30">
        <f>67</f>
        <v>67</v>
      </c>
      <c r="V201" s="30">
        <f>2928593030</f>
        <v>2928593030</v>
      </c>
      <c r="W201" s="30">
        <f>2045860</f>
        <v>2045860</v>
      </c>
      <c r="X201" s="34">
        <f>21</f>
        <v>21</v>
      </c>
    </row>
    <row r="202" spans="1:24">
      <c r="A202" s="25" t="s">
        <v>1167</v>
      </c>
      <c r="B202" s="25" t="s">
        <v>506</v>
      </c>
      <c r="C202" s="25" t="s">
        <v>507</v>
      </c>
      <c r="D202" s="25" t="s">
        <v>508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4000</f>
        <v>4000</v>
      </c>
      <c r="L202" s="32" t="s">
        <v>1110</v>
      </c>
      <c r="M202" s="31">
        <f>4085</f>
        <v>4085</v>
      </c>
      <c r="N202" s="32" t="s">
        <v>759</v>
      </c>
      <c r="O202" s="31">
        <f>3875</f>
        <v>3875</v>
      </c>
      <c r="P202" s="32" t="s">
        <v>1114</v>
      </c>
      <c r="Q202" s="31">
        <f>3955</f>
        <v>3955</v>
      </c>
      <c r="R202" s="32" t="s">
        <v>681</v>
      </c>
      <c r="S202" s="33">
        <f>3994.74</f>
        <v>3994.74</v>
      </c>
      <c r="T202" s="30">
        <f>6142</f>
        <v>6142</v>
      </c>
      <c r="U202" s="30" t="str">
        <f t="shared" ref="U202:U213" si="3">"－"</f>
        <v>－</v>
      </c>
      <c r="V202" s="30">
        <f>24516950</f>
        <v>24516950</v>
      </c>
      <c r="W202" s="30" t="str">
        <f t="shared" ref="W202:W213" si="4">"－"</f>
        <v>－</v>
      </c>
      <c r="X202" s="34">
        <f>19</f>
        <v>19</v>
      </c>
    </row>
    <row r="203" spans="1:24">
      <c r="A203" s="25" t="s">
        <v>1167</v>
      </c>
      <c r="B203" s="25" t="s">
        <v>509</v>
      </c>
      <c r="C203" s="25" t="s">
        <v>510</v>
      </c>
      <c r="D203" s="25" t="s">
        <v>511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30500</f>
        <v>30500</v>
      </c>
      <c r="L203" s="32" t="s">
        <v>1110</v>
      </c>
      <c r="M203" s="31">
        <f>31890</f>
        <v>31890</v>
      </c>
      <c r="N203" s="32" t="s">
        <v>681</v>
      </c>
      <c r="O203" s="31">
        <f>30130</f>
        <v>30130</v>
      </c>
      <c r="P203" s="32" t="s">
        <v>1116</v>
      </c>
      <c r="Q203" s="31">
        <f>31890</f>
        <v>31890</v>
      </c>
      <c r="R203" s="32" t="s">
        <v>681</v>
      </c>
      <c r="S203" s="33">
        <f>30820.48</f>
        <v>30820.48</v>
      </c>
      <c r="T203" s="30">
        <f>1388</f>
        <v>1388</v>
      </c>
      <c r="U203" s="30" t="str">
        <f t="shared" si="3"/>
        <v>－</v>
      </c>
      <c r="V203" s="30">
        <f>42837240</f>
        <v>42837240</v>
      </c>
      <c r="W203" s="30" t="str">
        <f t="shared" si="4"/>
        <v>－</v>
      </c>
      <c r="X203" s="34">
        <f>21</f>
        <v>21</v>
      </c>
    </row>
    <row r="204" spans="1:24">
      <c r="A204" s="25" t="s">
        <v>1167</v>
      </c>
      <c r="B204" s="25" t="s">
        <v>512</v>
      </c>
      <c r="C204" s="25" t="s">
        <v>513</v>
      </c>
      <c r="D204" s="25" t="s">
        <v>514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18715</f>
        <v>18715</v>
      </c>
      <c r="L204" s="32" t="s">
        <v>1110</v>
      </c>
      <c r="M204" s="31">
        <f>19260</f>
        <v>19260</v>
      </c>
      <c r="N204" s="32" t="s">
        <v>876</v>
      </c>
      <c r="O204" s="31">
        <f>18630</f>
        <v>18630</v>
      </c>
      <c r="P204" s="32" t="s">
        <v>683</v>
      </c>
      <c r="Q204" s="31">
        <f>18630</f>
        <v>18630</v>
      </c>
      <c r="R204" s="32" t="s">
        <v>683</v>
      </c>
      <c r="S204" s="33">
        <f>18908.33</f>
        <v>18908.330000000002</v>
      </c>
      <c r="T204" s="30">
        <f>117</f>
        <v>117</v>
      </c>
      <c r="U204" s="30" t="str">
        <f t="shared" si="3"/>
        <v>－</v>
      </c>
      <c r="V204" s="30">
        <f>2218775</f>
        <v>2218775</v>
      </c>
      <c r="W204" s="30" t="str">
        <f t="shared" si="4"/>
        <v>－</v>
      </c>
      <c r="X204" s="34">
        <f>9</f>
        <v>9</v>
      </c>
    </row>
    <row r="205" spans="1:24">
      <c r="A205" s="25" t="s">
        <v>1167</v>
      </c>
      <c r="B205" s="25" t="s">
        <v>515</v>
      </c>
      <c r="C205" s="25" t="s">
        <v>516</v>
      </c>
      <c r="D205" s="25" t="s">
        <v>517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34990</f>
        <v>34990</v>
      </c>
      <c r="L205" s="32" t="s">
        <v>1110</v>
      </c>
      <c r="M205" s="31">
        <f>35670</f>
        <v>35670</v>
      </c>
      <c r="N205" s="32" t="s">
        <v>681</v>
      </c>
      <c r="O205" s="31">
        <f>33970</f>
        <v>33970</v>
      </c>
      <c r="P205" s="32" t="s">
        <v>760</v>
      </c>
      <c r="Q205" s="31">
        <f>35670</f>
        <v>35670</v>
      </c>
      <c r="R205" s="32" t="s">
        <v>681</v>
      </c>
      <c r="S205" s="33">
        <f>34747.78</f>
        <v>34747.78</v>
      </c>
      <c r="T205" s="30">
        <f>330</f>
        <v>330</v>
      </c>
      <c r="U205" s="30" t="str">
        <f t="shared" si="3"/>
        <v>－</v>
      </c>
      <c r="V205" s="30">
        <f>11469810</f>
        <v>11469810</v>
      </c>
      <c r="W205" s="30" t="str">
        <f t="shared" si="4"/>
        <v>－</v>
      </c>
      <c r="X205" s="34">
        <f>18</f>
        <v>18</v>
      </c>
    </row>
    <row r="206" spans="1:24">
      <c r="A206" s="25" t="s">
        <v>1167</v>
      </c>
      <c r="B206" s="25" t="s">
        <v>518</v>
      </c>
      <c r="C206" s="25" t="s">
        <v>519</v>
      </c>
      <c r="D206" s="25" t="s">
        <v>520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20345</f>
        <v>20345</v>
      </c>
      <c r="L206" s="32" t="s">
        <v>1116</v>
      </c>
      <c r="M206" s="31">
        <f>20455</f>
        <v>20455</v>
      </c>
      <c r="N206" s="32" t="s">
        <v>1113</v>
      </c>
      <c r="O206" s="31">
        <f>19325</f>
        <v>19325</v>
      </c>
      <c r="P206" s="32" t="s">
        <v>777</v>
      </c>
      <c r="Q206" s="31">
        <f>19325</f>
        <v>19325</v>
      </c>
      <c r="R206" s="32" t="s">
        <v>777</v>
      </c>
      <c r="S206" s="33">
        <f>19978.33</f>
        <v>19978.330000000002</v>
      </c>
      <c r="T206" s="30">
        <f>28</f>
        <v>28</v>
      </c>
      <c r="U206" s="30" t="str">
        <f t="shared" si="3"/>
        <v>－</v>
      </c>
      <c r="V206" s="30">
        <f>558135</f>
        <v>558135</v>
      </c>
      <c r="W206" s="30" t="str">
        <f t="shared" si="4"/>
        <v>－</v>
      </c>
      <c r="X206" s="34">
        <f>12</f>
        <v>12</v>
      </c>
    </row>
    <row r="207" spans="1:24">
      <c r="A207" s="25" t="s">
        <v>1167</v>
      </c>
      <c r="B207" s="25" t="s">
        <v>521</v>
      </c>
      <c r="C207" s="25" t="s">
        <v>522</v>
      </c>
      <c r="D207" s="25" t="s">
        <v>523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19555</f>
        <v>19555</v>
      </c>
      <c r="L207" s="32" t="s">
        <v>1110</v>
      </c>
      <c r="M207" s="31">
        <f>19995</f>
        <v>19995</v>
      </c>
      <c r="N207" s="32" t="s">
        <v>1115</v>
      </c>
      <c r="O207" s="31">
        <f>19310</f>
        <v>19310</v>
      </c>
      <c r="P207" s="32" t="s">
        <v>682</v>
      </c>
      <c r="Q207" s="31">
        <f>19370</f>
        <v>19370</v>
      </c>
      <c r="R207" s="32" t="s">
        <v>681</v>
      </c>
      <c r="S207" s="33">
        <f>19555.79</f>
        <v>19555.79</v>
      </c>
      <c r="T207" s="30">
        <f>1720</f>
        <v>1720</v>
      </c>
      <c r="U207" s="30" t="str">
        <f t="shared" si="3"/>
        <v>－</v>
      </c>
      <c r="V207" s="30">
        <f>33802240</f>
        <v>33802240</v>
      </c>
      <c r="W207" s="30" t="str">
        <f t="shared" si="4"/>
        <v>－</v>
      </c>
      <c r="X207" s="34">
        <f>19</f>
        <v>19</v>
      </c>
    </row>
    <row r="208" spans="1:24">
      <c r="A208" s="25" t="s">
        <v>1167</v>
      </c>
      <c r="B208" s="25" t="s">
        <v>524</v>
      </c>
      <c r="C208" s="25" t="s">
        <v>525</v>
      </c>
      <c r="D208" s="25" t="s">
        <v>526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22815</f>
        <v>22815</v>
      </c>
      <c r="L208" s="32" t="s">
        <v>1110</v>
      </c>
      <c r="M208" s="31">
        <f>23895</f>
        <v>23895</v>
      </c>
      <c r="N208" s="32" t="s">
        <v>883</v>
      </c>
      <c r="O208" s="31">
        <f>22815</f>
        <v>22815</v>
      </c>
      <c r="P208" s="32" t="s">
        <v>1110</v>
      </c>
      <c r="Q208" s="31">
        <f>23345</f>
        <v>23345</v>
      </c>
      <c r="R208" s="32" t="s">
        <v>777</v>
      </c>
      <c r="S208" s="33">
        <f>23270</f>
        <v>23270</v>
      </c>
      <c r="T208" s="30">
        <f>76</f>
        <v>76</v>
      </c>
      <c r="U208" s="30" t="str">
        <f t="shared" si="3"/>
        <v>－</v>
      </c>
      <c r="V208" s="30">
        <f>1791075</f>
        <v>1791075</v>
      </c>
      <c r="W208" s="30" t="str">
        <f t="shared" si="4"/>
        <v>－</v>
      </c>
      <c r="X208" s="34">
        <f>6</f>
        <v>6</v>
      </c>
    </row>
    <row r="209" spans="1:24">
      <c r="A209" s="25" t="s">
        <v>1167</v>
      </c>
      <c r="B209" s="25" t="s">
        <v>527</v>
      </c>
      <c r="C209" s="25" t="s">
        <v>528</v>
      </c>
      <c r="D209" s="25" t="s">
        <v>529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18040</f>
        <v>18040</v>
      </c>
      <c r="L209" s="32" t="s">
        <v>1112</v>
      </c>
      <c r="M209" s="31">
        <f>18040</f>
        <v>18040</v>
      </c>
      <c r="N209" s="32" t="s">
        <v>1112</v>
      </c>
      <c r="O209" s="31">
        <f>17695</f>
        <v>17695</v>
      </c>
      <c r="P209" s="32" t="s">
        <v>683</v>
      </c>
      <c r="Q209" s="31">
        <f>17845</f>
        <v>17845</v>
      </c>
      <c r="R209" s="32" t="s">
        <v>681</v>
      </c>
      <c r="S209" s="33">
        <f>17786.25</f>
        <v>17786.25</v>
      </c>
      <c r="T209" s="30">
        <f>16</f>
        <v>16</v>
      </c>
      <c r="U209" s="30" t="str">
        <f t="shared" si="3"/>
        <v>－</v>
      </c>
      <c r="V209" s="30">
        <f>285890</f>
        <v>285890</v>
      </c>
      <c r="W209" s="30" t="str">
        <f t="shared" si="4"/>
        <v>－</v>
      </c>
      <c r="X209" s="34">
        <f>4</f>
        <v>4</v>
      </c>
    </row>
    <row r="210" spans="1:24">
      <c r="A210" s="25" t="s">
        <v>1167</v>
      </c>
      <c r="B210" s="25" t="s">
        <v>530</v>
      </c>
      <c r="C210" s="25" t="s">
        <v>531</v>
      </c>
      <c r="D210" s="25" t="s">
        <v>532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11260</f>
        <v>11260</v>
      </c>
      <c r="L210" s="32" t="s">
        <v>1123</v>
      </c>
      <c r="M210" s="31">
        <f>11410</f>
        <v>11410</v>
      </c>
      <c r="N210" s="32" t="s">
        <v>1118</v>
      </c>
      <c r="O210" s="31">
        <f>11045</f>
        <v>11045</v>
      </c>
      <c r="P210" s="32" t="s">
        <v>777</v>
      </c>
      <c r="Q210" s="31">
        <f>11220</f>
        <v>11220</v>
      </c>
      <c r="R210" s="32" t="s">
        <v>681</v>
      </c>
      <c r="S210" s="33">
        <f>11235</f>
        <v>11235</v>
      </c>
      <c r="T210" s="30">
        <f>1084</f>
        <v>1084</v>
      </c>
      <c r="U210" s="30" t="str">
        <f t="shared" si="3"/>
        <v>－</v>
      </c>
      <c r="V210" s="30">
        <f>12180475</f>
        <v>12180475</v>
      </c>
      <c r="W210" s="30" t="str">
        <f t="shared" si="4"/>
        <v>－</v>
      </c>
      <c r="X210" s="34">
        <f>10</f>
        <v>10</v>
      </c>
    </row>
    <row r="211" spans="1:24">
      <c r="A211" s="25" t="s">
        <v>1167</v>
      </c>
      <c r="B211" s="25" t="s">
        <v>533</v>
      </c>
      <c r="C211" s="25" t="s">
        <v>534</v>
      </c>
      <c r="D211" s="25" t="s">
        <v>535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13605</f>
        <v>13605</v>
      </c>
      <c r="L211" s="32" t="s">
        <v>1116</v>
      </c>
      <c r="M211" s="31">
        <f>14050</f>
        <v>14050</v>
      </c>
      <c r="N211" s="32" t="s">
        <v>1117</v>
      </c>
      <c r="O211" s="31">
        <f>13285</f>
        <v>13285</v>
      </c>
      <c r="P211" s="32" t="s">
        <v>777</v>
      </c>
      <c r="Q211" s="31">
        <f>13550</f>
        <v>13550</v>
      </c>
      <c r="R211" s="32" t="s">
        <v>681</v>
      </c>
      <c r="S211" s="33">
        <f>13752.19</f>
        <v>13752.19</v>
      </c>
      <c r="T211" s="30">
        <f>8762</f>
        <v>8762</v>
      </c>
      <c r="U211" s="30" t="str">
        <f t="shared" si="3"/>
        <v>－</v>
      </c>
      <c r="V211" s="30">
        <f>120718635</f>
        <v>120718635</v>
      </c>
      <c r="W211" s="30" t="str">
        <f t="shared" si="4"/>
        <v>－</v>
      </c>
      <c r="X211" s="34">
        <f>16</f>
        <v>16</v>
      </c>
    </row>
    <row r="212" spans="1:24">
      <c r="A212" s="25" t="s">
        <v>1167</v>
      </c>
      <c r="B212" s="25" t="s">
        <v>536</v>
      </c>
      <c r="C212" s="25" t="s">
        <v>537</v>
      </c>
      <c r="D212" s="25" t="s">
        <v>538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12615</f>
        <v>12615</v>
      </c>
      <c r="L212" s="32" t="s">
        <v>1110</v>
      </c>
      <c r="M212" s="31">
        <f>12825</f>
        <v>12825</v>
      </c>
      <c r="N212" s="32" t="s">
        <v>1118</v>
      </c>
      <c r="O212" s="31">
        <f>12400</f>
        <v>12400</v>
      </c>
      <c r="P212" s="32" t="s">
        <v>777</v>
      </c>
      <c r="Q212" s="31">
        <f>12400</f>
        <v>12400</v>
      </c>
      <c r="R212" s="32" t="s">
        <v>777</v>
      </c>
      <c r="S212" s="33">
        <f>12676.11</f>
        <v>12676.11</v>
      </c>
      <c r="T212" s="30">
        <f>3350</f>
        <v>3350</v>
      </c>
      <c r="U212" s="30" t="str">
        <f t="shared" si="3"/>
        <v>－</v>
      </c>
      <c r="V212" s="30">
        <f>42549035</f>
        <v>42549035</v>
      </c>
      <c r="W212" s="30" t="str">
        <f t="shared" si="4"/>
        <v>－</v>
      </c>
      <c r="X212" s="34">
        <f>9</f>
        <v>9</v>
      </c>
    </row>
    <row r="213" spans="1:24">
      <c r="A213" s="25" t="s">
        <v>1167</v>
      </c>
      <c r="B213" s="25" t="s">
        <v>783</v>
      </c>
      <c r="C213" s="25" t="s">
        <v>784</v>
      </c>
      <c r="D213" s="25" t="s">
        <v>785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11805</f>
        <v>11805</v>
      </c>
      <c r="L213" s="32" t="s">
        <v>759</v>
      </c>
      <c r="M213" s="31">
        <f>11805</f>
        <v>11805</v>
      </c>
      <c r="N213" s="32" t="s">
        <v>759</v>
      </c>
      <c r="O213" s="31">
        <f>11390</f>
        <v>11390</v>
      </c>
      <c r="P213" s="32" t="s">
        <v>777</v>
      </c>
      <c r="Q213" s="31">
        <f>11390</f>
        <v>11390</v>
      </c>
      <c r="R213" s="32" t="s">
        <v>777</v>
      </c>
      <c r="S213" s="33">
        <f>11597.5</f>
        <v>11597.5</v>
      </c>
      <c r="T213" s="30">
        <f>2</f>
        <v>2</v>
      </c>
      <c r="U213" s="30" t="str">
        <f t="shared" si="3"/>
        <v>－</v>
      </c>
      <c r="V213" s="30">
        <f>23195</f>
        <v>23195</v>
      </c>
      <c r="W213" s="30" t="str">
        <f t="shared" si="4"/>
        <v>－</v>
      </c>
      <c r="X213" s="34">
        <f>2</f>
        <v>2</v>
      </c>
    </row>
    <row r="214" spans="1:24">
      <c r="A214" s="25" t="s">
        <v>1167</v>
      </c>
      <c r="B214" s="25" t="s">
        <v>991</v>
      </c>
      <c r="C214" s="25" t="s">
        <v>992</v>
      </c>
      <c r="D214" s="25" t="s">
        <v>993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</v>
      </c>
      <c r="K214" s="31">
        <f>1195</f>
        <v>1195</v>
      </c>
      <c r="L214" s="32" t="s">
        <v>1110</v>
      </c>
      <c r="M214" s="31">
        <f>1234</f>
        <v>1234</v>
      </c>
      <c r="N214" s="32" t="s">
        <v>681</v>
      </c>
      <c r="O214" s="31">
        <f>1180</f>
        <v>1180</v>
      </c>
      <c r="P214" s="32" t="s">
        <v>1113</v>
      </c>
      <c r="Q214" s="31">
        <f>1234</f>
        <v>1234</v>
      </c>
      <c r="R214" s="32" t="s">
        <v>681</v>
      </c>
      <c r="S214" s="33">
        <f>1201.86</f>
        <v>1201.8599999999999</v>
      </c>
      <c r="T214" s="30">
        <f>3812882</f>
        <v>3812882</v>
      </c>
      <c r="U214" s="30">
        <f>150978</f>
        <v>150978</v>
      </c>
      <c r="V214" s="30">
        <f>4579202622</f>
        <v>4579202622</v>
      </c>
      <c r="W214" s="30">
        <f>181903742</f>
        <v>181903742</v>
      </c>
      <c r="X214" s="34">
        <f>21</f>
        <v>21</v>
      </c>
    </row>
    <row r="215" spans="1:24">
      <c r="A215" s="25" t="s">
        <v>1167</v>
      </c>
      <c r="B215" s="25" t="s">
        <v>994</v>
      </c>
      <c r="C215" s="25" t="s">
        <v>995</v>
      </c>
      <c r="D215" s="25" t="s">
        <v>996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1208</f>
        <v>1208</v>
      </c>
      <c r="L215" s="32" t="s">
        <v>1110</v>
      </c>
      <c r="M215" s="31">
        <f>1232</f>
        <v>1232</v>
      </c>
      <c r="N215" s="32" t="s">
        <v>883</v>
      </c>
      <c r="O215" s="31">
        <f>1193</f>
        <v>1193</v>
      </c>
      <c r="P215" s="32" t="s">
        <v>1117</v>
      </c>
      <c r="Q215" s="31">
        <f>1230</f>
        <v>1230</v>
      </c>
      <c r="R215" s="32" t="s">
        <v>681</v>
      </c>
      <c r="S215" s="33">
        <f>1209.86</f>
        <v>1209.8599999999999</v>
      </c>
      <c r="T215" s="30">
        <f>335027</f>
        <v>335027</v>
      </c>
      <c r="U215" s="30" t="str">
        <f>"－"</f>
        <v>－</v>
      </c>
      <c r="V215" s="30">
        <f>406605764</f>
        <v>406605764</v>
      </c>
      <c r="W215" s="30" t="str">
        <f>"－"</f>
        <v>－</v>
      </c>
      <c r="X215" s="34">
        <f>21</f>
        <v>21</v>
      </c>
    </row>
    <row r="216" spans="1:24">
      <c r="A216" s="25" t="s">
        <v>1167</v>
      </c>
      <c r="B216" s="25" t="s">
        <v>997</v>
      </c>
      <c r="C216" s="25" t="s">
        <v>998</v>
      </c>
      <c r="D216" s="25" t="s">
        <v>999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1019</f>
        <v>1019</v>
      </c>
      <c r="L216" s="32" t="s">
        <v>1110</v>
      </c>
      <c r="M216" s="31">
        <f>1053</f>
        <v>1053</v>
      </c>
      <c r="N216" s="32" t="s">
        <v>1118</v>
      </c>
      <c r="O216" s="31">
        <f>1008</f>
        <v>1008</v>
      </c>
      <c r="P216" s="32" t="s">
        <v>777</v>
      </c>
      <c r="Q216" s="31">
        <f>1035</f>
        <v>1035</v>
      </c>
      <c r="R216" s="32" t="s">
        <v>681</v>
      </c>
      <c r="S216" s="33">
        <f>1033.1</f>
        <v>1033.0999999999999</v>
      </c>
      <c r="T216" s="30">
        <f>14378</f>
        <v>14378</v>
      </c>
      <c r="U216" s="30" t="str">
        <f>"－"</f>
        <v>－</v>
      </c>
      <c r="V216" s="30">
        <f>14861363</f>
        <v>14861363</v>
      </c>
      <c r="W216" s="30" t="str">
        <f>"－"</f>
        <v>－</v>
      </c>
      <c r="X216" s="34">
        <f>21</f>
        <v>21</v>
      </c>
    </row>
    <row r="217" spans="1:24">
      <c r="A217" s="25" t="s">
        <v>1167</v>
      </c>
      <c r="B217" s="25" t="s">
        <v>1000</v>
      </c>
      <c r="C217" s="25" t="s">
        <v>1001</v>
      </c>
      <c r="D217" s="25" t="s">
        <v>1002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2263</f>
        <v>2263</v>
      </c>
      <c r="L217" s="32" t="s">
        <v>1110</v>
      </c>
      <c r="M217" s="31">
        <f>2340</f>
        <v>2340</v>
      </c>
      <c r="N217" s="32" t="s">
        <v>1112</v>
      </c>
      <c r="O217" s="31">
        <f>2210</f>
        <v>2210</v>
      </c>
      <c r="P217" s="32" t="s">
        <v>777</v>
      </c>
      <c r="Q217" s="31">
        <f>2273</f>
        <v>2273</v>
      </c>
      <c r="R217" s="32" t="s">
        <v>681</v>
      </c>
      <c r="S217" s="33">
        <f>2287.9</f>
        <v>2287.9</v>
      </c>
      <c r="T217" s="30">
        <f>285399</f>
        <v>285399</v>
      </c>
      <c r="U217" s="30" t="str">
        <f>"－"</f>
        <v>－</v>
      </c>
      <c r="V217" s="30">
        <f>653426772</f>
        <v>653426772</v>
      </c>
      <c r="W217" s="30" t="str">
        <f>"－"</f>
        <v>－</v>
      </c>
      <c r="X217" s="34">
        <f>21</f>
        <v>21</v>
      </c>
    </row>
    <row r="218" spans="1:24">
      <c r="A218" s="25" t="s">
        <v>1167</v>
      </c>
      <c r="B218" s="25" t="s">
        <v>1003</v>
      </c>
      <c r="C218" s="25" t="s">
        <v>1004</v>
      </c>
      <c r="D218" s="25" t="s">
        <v>1005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2324</f>
        <v>2324</v>
      </c>
      <c r="L218" s="32" t="s">
        <v>1110</v>
      </c>
      <c r="M218" s="31">
        <f>2354</f>
        <v>2354</v>
      </c>
      <c r="N218" s="32" t="s">
        <v>759</v>
      </c>
      <c r="O218" s="31">
        <f>2281</f>
        <v>2281</v>
      </c>
      <c r="P218" s="32" t="s">
        <v>683</v>
      </c>
      <c r="Q218" s="31">
        <f>2345</f>
        <v>2345</v>
      </c>
      <c r="R218" s="32" t="s">
        <v>681</v>
      </c>
      <c r="S218" s="33">
        <f>2319.71</f>
        <v>2319.71</v>
      </c>
      <c r="T218" s="30">
        <f>679219</f>
        <v>679219</v>
      </c>
      <c r="U218" s="30">
        <f>54300</f>
        <v>54300</v>
      </c>
      <c r="V218" s="30">
        <f>1578264162</f>
        <v>1578264162</v>
      </c>
      <c r="W218" s="30">
        <f>126061900</f>
        <v>126061900</v>
      </c>
      <c r="X218" s="34">
        <f>21</f>
        <v>21</v>
      </c>
    </row>
    <row r="219" spans="1:24">
      <c r="A219" s="25" t="s">
        <v>1167</v>
      </c>
      <c r="B219" s="25" t="s">
        <v>1006</v>
      </c>
      <c r="C219" s="25" t="s">
        <v>1007</v>
      </c>
      <c r="D219" s="25" t="s">
        <v>1008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10</v>
      </c>
      <c r="K219" s="31">
        <f>564.7</f>
        <v>564.70000000000005</v>
      </c>
      <c r="L219" s="32" t="s">
        <v>1110</v>
      </c>
      <c r="M219" s="31">
        <f>570.9</f>
        <v>570.9</v>
      </c>
      <c r="N219" s="32" t="s">
        <v>759</v>
      </c>
      <c r="O219" s="31">
        <f>550.7</f>
        <v>550.70000000000005</v>
      </c>
      <c r="P219" s="32" t="s">
        <v>777</v>
      </c>
      <c r="Q219" s="31">
        <f>564.9</f>
        <v>564.9</v>
      </c>
      <c r="R219" s="32" t="s">
        <v>681</v>
      </c>
      <c r="S219" s="33">
        <f>562.31</f>
        <v>562.30999999999995</v>
      </c>
      <c r="T219" s="30">
        <f>1335400</f>
        <v>1335400</v>
      </c>
      <c r="U219" s="30">
        <f>35050</f>
        <v>35050</v>
      </c>
      <c r="V219" s="30">
        <f>749067566</f>
        <v>749067566</v>
      </c>
      <c r="W219" s="30">
        <f>19771505</f>
        <v>19771505</v>
      </c>
      <c r="X219" s="34">
        <f>21</f>
        <v>21</v>
      </c>
    </row>
    <row r="220" spans="1:24">
      <c r="A220" s="25" t="s">
        <v>1167</v>
      </c>
      <c r="B220" s="25" t="s">
        <v>1009</v>
      </c>
      <c r="C220" s="25" t="s">
        <v>1010</v>
      </c>
      <c r="D220" s="25" t="s">
        <v>1011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2204</f>
        <v>2204</v>
      </c>
      <c r="L220" s="32" t="s">
        <v>1110</v>
      </c>
      <c r="M220" s="31">
        <f>2318.5</f>
        <v>2318.5</v>
      </c>
      <c r="N220" s="32" t="s">
        <v>1112</v>
      </c>
      <c r="O220" s="31">
        <f>2204</f>
        <v>2204</v>
      </c>
      <c r="P220" s="32" t="s">
        <v>1110</v>
      </c>
      <c r="Q220" s="31">
        <f>2318.5</f>
        <v>2318.5</v>
      </c>
      <c r="R220" s="32" t="s">
        <v>1112</v>
      </c>
      <c r="S220" s="33">
        <f>2262.5</f>
        <v>2262.5</v>
      </c>
      <c r="T220" s="30">
        <f>235780</f>
        <v>235780</v>
      </c>
      <c r="U220" s="30">
        <f>235010</f>
        <v>235010</v>
      </c>
      <c r="V220" s="30">
        <f>546786717</f>
        <v>546786717</v>
      </c>
      <c r="W220" s="30">
        <f>545035192</f>
        <v>545035192</v>
      </c>
      <c r="X220" s="34">
        <f>5</f>
        <v>5</v>
      </c>
    </row>
    <row r="221" spans="1:24">
      <c r="A221" s="25" t="s">
        <v>1167</v>
      </c>
      <c r="B221" s="25" t="s">
        <v>1012</v>
      </c>
      <c r="C221" s="25" t="s">
        <v>1013</v>
      </c>
      <c r="D221" s="25" t="s">
        <v>1014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2327.5</f>
        <v>2327.5</v>
      </c>
      <c r="L221" s="32" t="s">
        <v>1113</v>
      </c>
      <c r="M221" s="31">
        <f>2402.5</f>
        <v>2402.5</v>
      </c>
      <c r="N221" s="32" t="s">
        <v>778</v>
      </c>
      <c r="O221" s="31">
        <f>2313.5</f>
        <v>2313.5</v>
      </c>
      <c r="P221" s="32" t="s">
        <v>1123</v>
      </c>
      <c r="Q221" s="31">
        <f>2402.5</f>
        <v>2402.5</v>
      </c>
      <c r="R221" s="32" t="s">
        <v>778</v>
      </c>
      <c r="S221" s="33">
        <f>2364.42</f>
        <v>2364.42</v>
      </c>
      <c r="T221" s="30">
        <f>650</f>
        <v>650</v>
      </c>
      <c r="U221" s="30" t="str">
        <f>"－"</f>
        <v>－</v>
      </c>
      <c r="V221" s="30">
        <f>1540970</f>
        <v>1540970</v>
      </c>
      <c r="W221" s="30" t="str">
        <f>"－"</f>
        <v>－</v>
      </c>
      <c r="X221" s="34">
        <f>6</f>
        <v>6</v>
      </c>
    </row>
    <row r="222" spans="1:24">
      <c r="A222" s="25" t="s">
        <v>1167</v>
      </c>
      <c r="B222" s="25" t="s">
        <v>1015</v>
      </c>
      <c r="C222" s="25" t="s">
        <v>1016</v>
      </c>
      <c r="D222" s="25" t="s">
        <v>1017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2142.5</f>
        <v>2142.5</v>
      </c>
      <c r="L222" s="32" t="s">
        <v>1116</v>
      </c>
      <c r="M222" s="31">
        <f>2292.5</f>
        <v>2292.5</v>
      </c>
      <c r="N222" s="32" t="s">
        <v>1116</v>
      </c>
      <c r="O222" s="31">
        <f>2098.5</f>
        <v>2098.5</v>
      </c>
      <c r="P222" s="32" t="s">
        <v>681</v>
      </c>
      <c r="Q222" s="31">
        <f>2122</f>
        <v>2122</v>
      </c>
      <c r="R222" s="32" t="s">
        <v>681</v>
      </c>
      <c r="S222" s="33">
        <f>2158.1</f>
        <v>2158.1</v>
      </c>
      <c r="T222" s="30">
        <f>50400</f>
        <v>50400</v>
      </c>
      <c r="U222" s="30">
        <f>50000</f>
        <v>50000</v>
      </c>
      <c r="V222" s="30">
        <f>107077985</f>
        <v>107077985</v>
      </c>
      <c r="W222" s="30">
        <f>106195000</f>
        <v>106195000</v>
      </c>
      <c r="X222" s="34">
        <f>5</f>
        <v>5</v>
      </c>
    </row>
    <row r="223" spans="1:24">
      <c r="A223" s="25" t="s">
        <v>1167</v>
      </c>
      <c r="B223" s="25" t="s">
        <v>1018</v>
      </c>
      <c r="C223" s="25" t="s">
        <v>1019</v>
      </c>
      <c r="D223" s="25" t="s">
        <v>1020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 t="str">
        <f>"－"</f>
        <v>－</v>
      </c>
      <c r="L223" s="32"/>
      <c r="M223" s="31" t="str">
        <f>"－"</f>
        <v>－</v>
      </c>
      <c r="N223" s="32"/>
      <c r="O223" s="31" t="str">
        <f>"－"</f>
        <v>－</v>
      </c>
      <c r="P223" s="32"/>
      <c r="Q223" s="31" t="str">
        <f>"－"</f>
        <v>－</v>
      </c>
      <c r="R223" s="32"/>
      <c r="S223" s="33" t="str">
        <f t="shared" ref="S223:X223" si="5">"－"</f>
        <v>－</v>
      </c>
      <c r="T223" s="30" t="str">
        <f t="shared" si="5"/>
        <v>－</v>
      </c>
      <c r="U223" s="30" t="str">
        <f t="shared" si="5"/>
        <v>－</v>
      </c>
      <c r="V223" s="30" t="str">
        <f t="shared" si="5"/>
        <v>－</v>
      </c>
      <c r="W223" s="30" t="str">
        <f t="shared" si="5"/>
        <v>－</v>
      </c>
      <c r="X223" s="34" t="str">
        <f t="shared" si="5"/>
        <v>－</v>
      </c>
    </row>
    <row r="224" spans="1:24">
      <c r="A224" s="25" t="s">
        <v>1167</v>
      </c>
      <c r="B224" s="25" t="s">
        <v>1021</v>
      </c>
      <c r="C224" s="25" t="s">
        <v>1022</v>
      </c>
      <c r="D224" s="25" t="s">
        <v>1023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4937</f>
        <v>4937</v>
      </c>
      <c r="L224" s="32" t="s">
        <v>1115</v>
      </c>
      <c r="M224" s="31">
        <f>4937</f>
        <v>4937</v>
      </c>
      <c r="N224" s="32" t="s">
        <v>1115</v>
      </c>
      <c r="O224" s="31">
        <f>4937</f>
        <v>4937</v>
      </c>
      <c r="P224" s="32" t="s">
        <v>1115</v>
      </c>
      <c r="Q224" s="31">
        <f>4937</f>
        <v>4937</v>
      </c>
      <c r="R224" s="32" t="s">
        <v>1115</v>
      </c>
      <c r="S224" s="33">
        <f>4937</f>
        <v>4937</v>
      </c>
      <c r="T224" s="30">
        <f>980</f>
        <v>980</v>
      </c>
      <c r="U224" s="30" t="str">
        <f>"－"</f>
        <v>－</v>
      </c>
      <c r="V224" s="30">
        <f>4838260</f>
        <v>4838260</v>
      </c>
      <c r="W224" s="30" t="str">
        <f>"－"</f>
        <v>－</v>
      </c>
      <c r="X224" s="34">
        <f>1</f>
        <v>1</v>
      </c>
    </row>
    <row r="225" spans="1:24">
      <c r="A225" s="25" t="s">
        <v>1167</v>
      </c>
      <c r="B225" s="25" t="s">
        <v>1024</v>
      </c>
      <c r="C225" s="25" t="s">
        <v>1025</v>
      </c>
      <c r="D225" s="25" t="s">
        <v>1026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4816</f>
        <v>4816</v>
      </c>
      <c r="L225" s="32" t="s">
        <v>1110</v>
      </c>
      <c r="M225" s="31">
        <f>5017</f>
        <v>5017</v>
      </c>
      <c r="N225" s="32" t="s">
        <v>1113</v>
      </c>
      <c r="O225" s="31">
        <f>4816</f>
        <v>4816</v>
      </c>
      <c r="P225" s="32" t="s">
        <v>1110</v>
      </c>
      <c r="Q225" s="31">
        <f>4977</f>
        <v>4977</v>
      </c>
      <c r="R225" s="32" t="s">
        <v>874</v>
      </c>
      <c r="S225" s="33">
        <f>4955.14</f>
        <v>4955.1400000000003</v>
      </c>
      <c r="T225" s="30">
        <f>890</f>
        <v>890</v>
      </c>
      <c r="U225" s="30" t="str">
        <f>"－"</f>
        <v>－</v>
      </c>
      <c r="V225" s="30">
        <f>4414720</f>
        <v>4414720</v>
      </c>
      <c r="W225" s="30" t="str">
        <f>"－"</f>
        <v>－</v>
      </c>
      <c r="X225" s="34">
        <f>7</f>
        <v>7</v>
      </c>
    </row>
    <row r="226" spans="1:24">
      <c r="A226" s="25" t="s">
        <v>1167</v>
      </c>
      <c r="B226" s="25" t="s">
        <v>1027</v>
      </c>
      <c r="C226" s="25" t="s">
        <v>1028</v>
      </c>
      <c r="D226" s="25" t="s">
        <v>1029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 t="str">
        <f>"－"</f>
        <v>－</v>
      </c>
      <c r="L226" s="32"/>
      <c r="M226" s="31" t="str">
        <f>"－"</f>
        <v>－</v>
      </c>
      <c r="N226" s="32"/>
      <c r="O226" s="31" t="str">
        <f>"－"</f>
        <v>－</v>
      </c>
      <c r="P226" s="32"/>
      <c r="Q226" s="31" t="str">
        <f>"－"</f>
        <v>－</v>
      </c>
      <c r="R226" s="32"/>
      <c r="S226" s="33" t="str">
        <f>"－"</f>
        <v>－</v>
      </c>
      <c r="T226" s="30" t="str">
        <f>"－"</f>
        <v>－</v>
      </c>
      <c r="U226" s="30" t="str">
        <f>"－"</f>
        <v>－</v>
      </c>
      <c r="V226" s="30" t="str">
        <f>"－"</f>
        <v>－</v>
      </c>
      <c r="W226" s="30" t="str">
        <f>"－"</f>
        <v>－</v>
      </c>
      <c r="X226" s="34" t="str">
        <f>"－"</f>
        <v>－</v>
      </c>
    </row>
    <row r="227" spans="1:24">
      <c r="A227" s="25" t="s">
        <v>1167</v>
      </c>
      <c r="B227" s="25" t="s">
        <v>1053</v>
      </c>
      <c r="C227" s="25" t="s">
        <v>1052</v>
      </c>
      <c r="D227" s="25" t="s">
        <v>1051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5231</f>
        <v>5231</v>
      </c>
      <c r="L227" s="32" t="s">
        <v>1110</v>
      </c>
      <c r="M227" s="31">
        <f>5272</f>
        <v>5272</v>
      </c>
      <c r="N227" s="32" t="s">
        <v>1110</v>
      </c>
      <c r="O227" s="31">
        <f>5080</f>
        <v>5080</v>
      </c>
      <c r="P227" s="32" t="s">
        <v>760</v>
      </c>
      <c r="Q227" s="31">
        <f>5188</f>
        <v>5188</v>
      </c>
      <c r="R227" s="32" t="s">
        <v>681</v>
      </c>
      <c r="S227" s="33">
        <f>5172.19</f>
        <v>5172.1899999999996</v>
      </c>
      <c r="T227" s="30">
        <f>2368150</f>
        <v>2368150</v>
      </c>
      <c r="U227" s="30">
        <f>2320810</f>
        <v>2320810</v>
      </c>
      <c r="V227" s="30">
        <f>12266050830</f>
        <v>12266050830</v>
      </c>
      <c r="W227" s="30">
        <f>12022091670</f>
        <v>12022091670</v>
      </c>
      <c r="X227" s="34">
        <f>21</f>
        <v>21</v>
      </c>
    </row>
    <row r="228" spans="1:24">
      <c r="A228" s="25" t="s">
        <v>1167</v>
      </c>
      <c r="B228" s="25" t="s">
        <v>1050</v>
      </c>
      <c r="C228" s="25" t="s">
        <v>1049</v>
      </c>
      <c r="D228" s="25" t="s">
        <v>1048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</v>
      </c>
      <c r="K228" s="31">
        <f>955</f>
        <v>955</v>
      </c>
      <c r="L228" s="32" t="s">
        <v>1110</v>
      </c>
      <c r="M228" s="31">
        <f>1002</f>
        <v>1002</v>
      </c>
      <c r="N228" s="32" t="s">
        <v>777</v>
      </c>
      <c r="O228" s="31">
        <f>940</f>
        <v>940</v>
      </c>
      <c r="P228" s="32" t="s">
        <v>1113</v>
      </c>
      <c r="Q228" s="31">
        <f>988</f>
        <v>988</v>
      </c>
      <c r="R228" s="32" t="s">
        <v>681</v>
      </c>
      <c r="S228" s="33">
        <f>965.67</f>
        <v>965.67</v>
      </c>
      <c r="T228" s="30">
        <f>296005</f>
        <v>296005</v>
      </c>
      <c r="U228" s="30">
        <f>75195</f>
        <v>75195</v>
      </c>
      <c r="V228" s="30">
        <f>291301212</f>
        <v>291301212</v>
      </c>
      <c r="W228" s="30">
        <f>73585827</f>
        <v>73585827</v>
      </c>
      <c r="X228" s="34">
        <f>21</f>
        <v>21</v>
      </c>
    </row>
    <row r="229" spans="1:24">
      <c r="A229" s="25" t="s">
        <v>1167</v>
      </c>
      <c r="B229" s="25" t="s">
        <v>1047</v>
      </c>
      <c r="C229" s="25" t="s">
        <v>1046</v>
      </c>
      <c r="D229" s="25" t="s">
        <v>1045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1111</f>
        <v>1111</v>
      </c>
      <c r="L229" s="32" t="s">
        <v>1110</v>
      </c>
      <c r="M229" s="31">
        <f>1150</f>
        <v>1150</v>
      </c>
      <c r="N229" s="32" t="s">
        <v>1118</v>
      </c>
      <c r="O229" s="31">
        <f>1089</f>
        <v>1089</v>
      </c>
      <c r="P229" s="32" t="s">
        <v>777</v>
      </c>
      <c r="Q229" s="31">
        <f>1097</f>
        <v>1097</v>
      </c>
      <c r="R229" s="32" t="s">
        <v>681</v>
      </c>
      <c r="S229" s="33">
        <f>1125.67</f>
        <v>1125.67</v>
      </c>
      <c r="T229" s="30">
        <f>143312</f>
        <v>143312</v>
      </c>
      <c r="U229" s="30" t="str">
        <f>"－"</f>
        <v>－</v>
      </c>
      <c r="V229" s="30">
        <f>160285687</f>
        <v>160285687</v>
      </c>
      <c r="W229" s="30" t="str">
        <f>"－"</f>
        <v>－</v>
      </c>
      <c r="X229" s="34">
        <f>21</f>
        <v>21</v>
      </c>
    </row>
    <row r="230" spans="1:24">
      <c r="A230" s="25" t="s">
        <v>1167</v>
      </c>
      <c r="B230" s="25" t="s">
        <v>1044</v>
      </c>
      <c r="C230" s="25" t="s">
        <v>1043</v>
      </c>
      <c r="D230" s="25" t="s">
        <v>1042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969</f>
        <v>969</v>
      </c>
      <c r="L230" s="32" t="s">
        <v>1110</v>
      </c>
      <c r="M230" s="31">
        <f>982</f>
        <v>982</v>
      </c>
      <c r="N230" s="32" t="s">
        <v>1113</v>
      </c>
      <c r="O230" s="31">
        <f>917</f>
        <v>917</v>
      </c>
      <c r="P230" s="32" t="s">
        <v>777</v>
      </c>
      <c r="Q230" s="31">
        <f>932</f>
        <v>932</v>
      </c>
      <c r="R230" s="32" t="s">
        <v>681</v>
      </c>
      <c r="S230" s="33">
        <f>954.33</f>
        <v>954.33</v>
      </c>
      <c r="T230" s="30">
        <f>15573</f>
        <v>15573</v>
      </c>
      <c r="U230" s="30" t="str">
        <f>"－"</f>
        <v>－</v>
      </c>
      <c r="V230" s="30">
        <f>14781172</f>
        <v>14781172</v>
      </c>
      <c r="W230" s="30" t="str">
        <f>"－"</f>
        <v>－</v>
      </c>
      <c r="X230" s="34">
        <f>21</f>
        <v>21</v>
      </c>
    </row>
    <row r="231" spans="1:24">
      <c r="A231" s="25" t="s">
        <v>1167</v>
      </c>
      <c r="B231" s="25" t="s">
        <v>1041</v>
      </c>
      <c r="C231" s="25" t="s">
        <v>1040</v>
      </c>
      <c r="D231" s="25" t="s">
        <v>1039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1039</f>
        <v>1039</v>
      </c>
      <c r="L231" s="32" t="s">
        <v>1110</v>
      </c>
      <c r="M231" s="31">
        <f>1060</f>
        <v>1060</v>
      </c>
      <c r="N231" s="32" t="s">
        <v>1115</v>
      </c>
      <c r="O231" s="31">
        <f>990</f>
        <v>990</v>
      </c>
      <c r="P231" s="32" t="s">
        <v>681</v>
      </c>
      <c r="Q231" s="31">
        <f>993</f>
        <v>993</v>
      </c>
      <c r="R231" s="32" t="s">
        <v>681</v>
      </c>
      <c r="S231" s="33">
        <f>1030.71</f>
        <v>1030.71</v>
      </c>
      <c r="T231" s="30">
        <f>25223</f>
        <v>25223</v>
      </c>
      <c r="U231" s="30" t="str">
        <f>"－"</f>
        <v>－</v>
      </c>
      <c r="V231" s="30">
        <f>25629787</f>
        <v>25629787</v>
      </c>
      <c r="W231" s="30" t="str">
        <f>"－"</f>
        <v>－</v>
      </c>
      <c r="X231" s="34">
        <f>21</f>
        <v>21</v>
      </c>
    </row>
    <row r="232" spans="1:24">
      <c r="A232" s="25" t="s">
        <v>1167</v>
      </c>
      <c r="B232" s="25" t="s">
        <v>1038</v>
      </c>
      <c r="C232" s="25" t="s">
        <v>1037</v>
      </c>
      <c r="D232" s="25" t="s">
        <v>1036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1055</f>
        <v>1055</v>
      </c>
      <c r="L232" s="32" t="s">
        <v>1110</v>
      </c>
      <c r="M232" s="31">
        <f>1072</f>
        <v>1072</v>
      </c>
      <c r="N232" s="32" t="s">
        <v>1115</v>
      </c>
      <c r="O232" s="31">
        <f>999</f>
        <v>999</v>
      </c>
      <c r="P232" s="32" t="s">
        <v>777</v>
      </c>
      <c r="Q232" s="31">
        <f>1010</f>
        <v>1010</v>
      </c>
      <c r="R232" s="32" t="s">
        <v>681</v>
      </c>
      <c r="S232" s="33">
        <f>1042.67</f>
        <v>1042.67</v>
      </c>
      <c r="T232" s="30">
        <f>64535</f>
        <v>64535</v>
      </c>
      <c r="U232" s="30">
        <f>7</f>
        <v>7</v>
      </c>
      <c r="V232" s="30">
        <f>66945648</f>
        <v>66945648</v>
      </c>
      <c r="W232" s="30">
        <f>7257</f>
        <v>7257</v>
      </c>
      <c r="X232" s="34">
        <f>21</f>
        <v>21</v>
      </c>
    </row>
    <row r="233" spans="1:24">
      <c r="A233" s="25" t="s">
        <v>1167</v>
      </c>
      <c r="B233" s="25" t="s">
        <v>868</v>
      </c>
      <c r="C233" s="25" t="s">
        <v>869</v>
      </c>
      <c r="D233" s="25" t="s">
        <v>870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10</v>
      </c>
      <c r="K233" s="31">
        <f>2626.5</f>
        <v>2626.5</v>
      </c>
      <c r="L233" s="32" t="s">
        <v>1110</v>
      </c>
      <c r="M233" s="31">
        <f>2730</f>
        <v>2730</v>
      </c>
      <c r="N233" s="32" t="s">
        <v>778</v>
      </c>
      <c r="O233" s="31">
        <f>2580.5</f>
        <v>2580.5</v>
      </c>
      <c r="P233" s="32" t="s">
        <v>1116</v>
      </c>
      <c r="Q233" s="31">
        <f>2607</f>
        <v>2607</v>
      </c>
      <c r="R233" s="32" t="s">
        <v>681</v>
      </c>
      <c r="S233" s="33">
        <f>2665.05</f>
        <v>2665.05</v>
      </c>
      <c r="T233" s="30">
        <f>46250</f>
        <v>46250</v>
      </c>
      <c r="U233" s="30">
        <f>110</f>
        <v>110</v>
      </c>
      <c r="V233" s="30">
        <f>123332410</f>
        <v>123332410</v>
      </c>
      <c r="W233" s="30">
        <f>292830</f>
        <v>292830</v>
      </c>
      <c r="X233" s="34">
        <f>21</f>
        <v>21</v>
      </c>
    </row>
    <row r="234" spans="1:24">
      <c r="A234" s="25" t="s">
        <v>1167</v>
      </c>
      <c r="B234" s="25" t="s">
        <v>871</v>
      </c>
      <c r="C234" s="25" t="s">
        <v>872</v>
      </c>
      <c r="D234" s="25" t="s">
        <v>873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1243</f>
        <v>1243</v>
      </c>
      <c r="L234" s="32" t="s">
        <v>1110</v>
      </c>
      <c r="M234" s="31">
        <f>1280</f>
        <v>1280</v>
      </c>
      <c r="N234" s="32" t="s">
        <v>1118</v>
      </c>
      <c r="O234" s="31">
        <f>1217</f>
        <v>1217</v>
      </c>
      <c r="P234" s="32" t="s">
        <v>777</v>
      </c>
      <c r="Q234" s="31">
        <f>1227</f>
        <v>1227</v>
      </c>
      <c r="R234" s="32" t="s">
        <v>681</v>
      </c>
      <c r="S234" s="33">
        <f>1251.24</f>
        <v>1251.24</v>
      </c>
      <c r="T234" s="30">
        <f>633226</f>
        <v>633226</v>
      </c>
      <c r="U234" s="30">
        <f>400</f>
        <v>400</v>
      </c>
      <c r="V234" s="30">
        <f>789667812</f>
        <v>789667812</v>
      </c>
      <c r="W234" s="30">
        <f>495600</f>
        <v>495600</v>
      </c>
      <c r="X234" s="34">
        <f>21</f>
        <v>21</v>
      </c>
    </row>
    <row r="235" spans="1:24">
      <c r="A235" s="25" t="s">
        <v>1167</v>
      </c>
      <c r="B235" s="25" t="s">
        <v>877</v>
      </c>
      <c r="C235" s="25" t="s">
        <v>878</v>
      </c>
      <c r="D235" s="25" t="s">
        <v>879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67860</f>
        <v>67860</v>
      </c>
      <c r="L235" s="32" t="s">
        <v>1110</v>
      </c>
      <c r="M235" s="31">
        <f>76150</f>
        <v>76150</v>
      </c>
      <c r="N235" s="32" t="s">
        <v>778</v>
      </c>
      <c r="O235" s="31">
        <f>67800</f>
        <v>67800</v>
      </c>
      <c r="P235" s="32" t="s">
        <v>1110</v>
      </c>
      <c r="Q235" s="31">
        <f>72690</f>
        <v>72690</v>
      </c>
      <c r="R235" s="32" t="s">
        <v>681</v>
      </c>
      <c r="S235" s="33">
        <f>73442.38</f>
        <v>73442.38</v>
      </c>
      <c r="T235" s="30">
        <f>25569</f>
        <v>25569</v>
      </c>
      <c r="U235" s="30">
        <f>6</f>
        <v>6</v>
      </c>
      <c r="V235" s="30">
        <f>1873410480</f>
        <v>1873410480</v>
      </c>
      <c r="W235" s="30">
        <f>451760</f>
        <v>451760</v>
      </c>
      <c r="X235" s="34">
        <f>21</f>
        <v>21</v>
      </c>
    </row>
    <row r="236" spans="1:24">
      <c r="A236" s="25" t="s">
        <v>1167</v>
      </c>
      <c r="B236" s="25" t="s">
        <v>880</v>
      </c>
      <c r="C236" s="25" t="s">
        <v>881</v>
      </c>
      <c r="D236" s="25" t="s">
        <v>882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7908</f>
        <v>7908</v>
      </c>
      <c r="L236" s="32" t="s">
        <v>1110</v>
      </c>
      <c r="M236" s="31">
        <f>7908</f>
        <v>7908</v>
      </c>
      <c r="N236" s="32" t="s">
        <v>1110</v>
      </c>
      <c r="O236" s="31">
        <f>7452</f>
        <v>7452</v>
      </c>
      <c r="P236" s="32" t="s">
        <v>778</v>
      </c>
      <c r="Q236" s="31">
        <f>7623</f>
        <v>7623</v>
      </c>
      <c r="R236" s="32" t="s">
        <v>681</v>
      </c>
      <c r="S236" s="33">
        <f>7595.14</f>
        <v>7595.14</v>
      </c>
      <c r="T236" s="30">
        <f>36330</f>
        <v>36330</v>
      </c>
      <c r="U236" s="30" t="str">
        <f>"－"</f>
        <v>－</v>
      </c>
      <c r="V236" s="30">
        <f>275142984</f>
        <v>275142984</v>
      </c>
      <c r="W236" s="30" t="str">
        <f>"－"</f>
        <v>－</v>
      </c>
      <c r="X236" s="34">
        <f>21</f>
        <v>21</v>
      </c>
    </row>
    <row r="237" spans="1:24">
      <c r="A237" s="25" t="s">
        <v>1167</v>
      </c>
      <c r="B237" s="25" t="s">
        <v>884</v>
      </c>
      <c r="C237" s="25" t="s">
        <v>885</v>
      </c>
      <c r="D237" s="25" t="s">
        <v>886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14630</f>
        <v>14630</v>
      </c>
      <c r="L237" s="32" t="s">
        <v>1110</v>
      </c>
      <c r="M237" s="31">
        <f>16550</f>
        <v>16550</v>
      </c>
      <c r="N237" s="32" t="s">
        <v>1118</v>
      </c>
      <c r="O237" s="31">
        <f>14615</f>
        <v>14615</v>
      </c>
      <c r="P237" s="32" t="s">
        <v>1110</v>
      </c>
      <c r="Q237" s="31">
        <f>15675</f>
        <v>15675</v>
      </c>
      <c r="R237" s="32" t="s">
        <v>681</v>
      </c>
      <c r="S237" s="33">
        <f>15845.24</f>
        <v>15845.24</v>
      </c>
      <c r="T237" s="30">
        <f>41930</f>
        <v>41930</v>
      </c>
      <c r="U237" s="30">
        <f>470</f>
        <v>470</v>
      </c>
      <c r="V237" s="30">
        <f>663451350</f>
        <v>663451350</v>
      </c>
      <c r="W237" s="30">
        <f>7277500</f>
        <v>7277500</v>
      </c>
      <c r="X237" s="34">
        <f>21</f>
        <v>21</v>
      </c>
    </row>
    <row r="238" spans="1:24">
      <c r="A238" s="25" t="s">
        <v>1167</v>
      </c>
      <c r="B238" s="25" t="s">
        <v>887</v>
      </c>
      <c r="C238" s="25" t="s">
        <v>888</v>
      </c>
      <c r="D238" s="25" t="s">
        <v>889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7959</f>
        <v>7959</v>
      </c>
      <c r="L238" s="32" t="s">
        <v>1110</v>
      </c>
      <c r="M238" s="31">
        <f>7959</f>
        <v>7959</v>
      </c>
      <c r="N238" s="32" t="s">
        <v>1110</v>
      </c>
      <c r="O238" s="31">
        <f>7500</f>
        <v>7500</v>
      </c>
      <c r="P238" s="32" t="s">
        <v>778</v>
      </c>
      <c r="Q238" s="31">
        <f>7668</f>
        <v>7668</v>
      </c>
      <c r="R238" s="32" t="s">
        <v>681</v>
      </c>
      <c r="S238" s="33">
        <f>7654.47</f>
        <v>7654.47</v>
      </c>
      <c r="T238" s="30">
        <f>315040</f>
        <v>315040</v>
      </c>
      <c r="U238" s="30">
        <f>290360</f>
        <v>290360</v>
      </c>
      <c r="V238" s="30">
        <f>2422608632</f>
        <v>2422608632</v>
      </c>
      <c r="W238" s="30">
        <f>2233245802</f>
        <v>2233245802</v>
      </c>
      <c r="X238" s="34">
        <f>19</f>
        <v>19</v>
      </c>
    </row>
    <row r="239" spans="1:24">
      <c r="A239" s="25" t="s">
        <v>1167</v>
      </c>
      <c r="B239" s="25" t="s">
        <v>890</v>
      </c>
      <c r="C239" s="25" t="s">
        <v>891</v>
      </c>
      <c r="D239" s="25" t="s">
        <v>892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10</v>
      </c>
      <c r="K239" s="31">
        <f>667.4</f>
        <v>667.4</v>
      </c>
      <c r="L239" s="32" t="s">
        <v>1110</v>
      </c>
      <c r="M239" s="31">
        <f>718</f>
        <v>718</v>
      </c>
      <c r="N239" s="32" t="s">
        <v>874</v>
      </c>
      <c r="O239" s="31">
        <f>662.2</f>
        <v>662.2</v>
      </c>
      <c r="P239" s="32" t="s">
        <v>1116</v>
      </c>
      <c r="Q239" s="31">
        <f>664.7</f>
        <v>664.7</v>
      </c>
      <c r="R239" s="32" t="s">
        <v>681</v>
      </c>
      <c r="S239" s="33">
        <f>683.55</f>
        <v>683.55</v>
      </c>
      <c r="T239" s="30">
        <f>1150090</f>
        <v>1150090</v>
      </c>
      <c r="U239" s="30">
        <f>362620</f>
        <v>362620</v>
      </c>
      <c r="V239" s="30">
        <f>789352196</f>
        <v>789352196</v>
      </c>
      <c r="W239" s="30">
        <f>249990167</f>
        <v>249990167</v>
      </c>
      <c r="X239" s="34">
        <f>21</f>
        <v>21</v>
      </c>
    </row>
    <row r="240" spans="1:24">
      <c r="A240" s="25" t="s">
        <v>1167</v>
      </c>
      <c r="B240" s="25" t="s">
        <v>893</v>
      </c>
      <c r="C240" s="25" t="s">
        <v>894</v>
      </c>
      <c r="D240" s="25" t="s">
        <v>895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10</v>
      </c>
      <c r="K240" s="31">
        <f>545</f>
        <v>545</v>
      </c>
      <c r="L240" s="32" t="s">
        <v>1110</v>
      </c>
      <c r="M240" s="31">
        <f>574.9</f>
        <v>574.9</v>
      </c>
      <c r="N240" s="32" t="s">
        <v>1118</v>
      </c>
      <c r="O240" s="31">
        <f>537</f>
        <v>537</v>
      </c>
      <c r="P240" s="32" t="s">
        <v>681</v>
      </c>
      <c r="Q240" s="31">
        <f>537.8</f>
        <v>537.79999999999995</v>
      </c>
      <c r="R240" s="32" t="s">
        <v>681</v>
      </c>
      <c r="S240" s="33">
        <f>555.3</f>
        <v>555.29999999999995</v>
      </c>
      <c r="T240" s="30">
        <f>1728640</f>
        <v>1728640</v>
      </c>
      <c r="U240" s="30">
        <f>1643330</f>
        <v>1643330</v>
      </c>
      <c r="V240" s="30">
        <f>966313584</f>
        <v>966313584</v>
      </c>
      <c r="W240" s="30">
        <f>919177090</f>
        <v>919177090</v>
      </c>
      <c r="X240" s="34">
        <f>21</f>
        <v>21</v>
      </c>
    </row>
    <row r="241" spans="1:24">
      <c r="A241" s="25" t="s">
        <v>1167</v>
      </c>
      <c r="B241" s="25" t="s">
        <v>934</v>
      </c>
      <c r="C241" s="25" t="s">
        <v>935</v>
      </c>
      <c r="D241" s="25" t="s">
        <v>936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1741</f>
        <v>1741</v>
      </c>
      <c r="L241" s="32" t="s">
        <v>1110</v>
      </c>
      <c r="M241" s="31">
        <f>2000</f>
        <v>2000</v>
      </c>
      <c r="N241" s="32" t="s">
        <v>883</v>
      </c>
      <c r="O241" s="31">
        <f>1694</f>
        <v>1694</v>
      </c>
      <c r="P241" s="32" t="s">
        <v>1116</v>
      </c>
      <c r="Q241" s="31">
        <f>1929</f>
        <v>1929</v>
      </c>
      <c r="R241" s="32" t="s">
        <v>681</v>
      </c>
      <c r="S241" s="33">
        <f>1857.33</f>
        <v>1857.33</v>
      </c>
      <c r="T241" s="30">
        <f>13908503</f>
        <v>13908503</v>
      </c>
      <c r="U241" s="30">
        <f>1777478</f>
        <v>1777478</v>
      </c>
      <c r="V241" s="30">
        <f>25837355337</f>
        <v>25837355337</v>
      </c>
      <c r="W241" s="30">
        <f>3323817612</f>
        <v>3323817612</v>
      </c>
      <c r="X241" s="34">
        <f>21</f>
        <v>21</v>
      </c>
    </row>
    <row r="242" spans="1:24">
      <c r="A242" s="25" t="s">
        <v>1167</v>
      </c>
      <c r="B242" s="25" t="s">
        <v>937</v>
      </c>
      <c r="C242" s="25" t="s">
        <v>938</v>
      </c>
      <c r="D242" s="25" t="s">
        <v>939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1853</f>
        <v>1853</v>
      </c>
      <c r="L242" s="32" t="s">
        <v>1110</v>
      </c>
      <c r="M242" s="31">
        <f>2079</f>
        <v>2079</v>
      </c>
      <c r="N242" s="32" t="s">
        <v>883</v>
      </c>
      <c r="O242" s="31">
        <f>1831</f>
        <v>1831</v>
      </c>
      <c r="P242" s="32" t="s">
        <v>1116</v>
      </c>
      <c r="Q242" s="31">
        <f>2016</f>
        <v>2016</v>
      </c>
      <c r="R242" s="32" t="s">
        <v>681</v>
      </c>
      <c r="S242" s="33">
        <f>1975.19</f>
        <v>1975.19</v>
      </c>
      <c r="T242" s="30">
        <f>10021182</f>
        <v>10021182</v>
      </c>
      <c r="U242" s="30">
        <f>245332</f>
        <v>245332</v>
      </c>
      <c r="V242" s="30">
        <f>19893694453</f>
        <v>19893694453</v>
      </c>
      <c r="W242" s="30">
        <f>500519414</f>
        <v>500519414</v>
      </c>
      <c r="X242" s="34">
        <f>21</f>
        <v>21</v>
      </c>
    </row>
    <row r="243" spans="1:24">
      <c r="A243" s="25" t="s">
        <v>1167</v>
      </c>
      <c r="B243" s="25" t="s">
        <v>940</v>
      </c>
      <c r="C243" s="25" t="s">
        <v>941</v>
      </c>
      <c r="D243" s="25" t="s">
        <v>942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758.1</f>
        <v>758.1</v>
      </c>
      <c r="L243" s="32" t="s">
        <v>1110</v>
      </c>
      <c r="M243" s="31">
        <f>808</f>
        <v>808</v>
      </c>
      <c r="N243" s="32" t="s">
        <v>1123</v>
      </c>
      <c r="O243" s="31">
        <f>758.1</f>
        <v>758.1</v>
      </c>
      <c r="P243" s="32" t="s">
        <v>1110</v>
      </c>
      <c r="Q243" s="31">
        <f>760.4</f>
        <v>760.4</v>
      </c>
      <c r="R243" s="32" t="s">
        <v>681</v>
      </c>
      <c r="S243" s="33">
        <f>769.08</f>
        <v>769.08</v>
      </c>
      <c r="T243" s="30">
        <f>35970</f>
        <v>35970</v>
      </c>
      <c r="U243" s="30">
        <f>28260</f>
        <v>28260</v>
      </c>
      <c r="V243" s="30">
        <f>27445797</f>
        <v>27445797</v>
      </c>
      <c r="W243" s="30">
        <f>21488904</f>
        <v>21488904</v>
      </c>
      <c r="X243" s="34">
        <f>20</f>
        <v>20</v>
      </c>
    </row>
    <row r="244" spans="1:24">
      <c r="A244" s="25" t="s">
        <v>1167</v>
      </c>
      <c r="B244" s="25" t="s">
        <v>943</v>
      </c>
      <c r="C244" s="25" t="s">
        <v>944</v>
      </c>
      <c r="D244" s="25" t="s">
        <v>945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774.5</f>
        <v>774.5</v>
      </c>
      <c r="L244" s="32" t="s">
        <v>1116</v>
      </c>
      <c r="M244" s="31">
        <f>787</f>
        <v>787</v>
      </c>
      <c r="N244" s="32" t="s">
        <v>1115</v>
      </c>
      <c r="O244" s="31">
        <f>766.7</f>
        <v>766.7</v>
      </c>
      <c r="P244" s="32" t="s">
        <v>777</v>
      </c>
      <c r="Q244" s="31">
        <f>769.1</f>
        <v>769.1</v>
      </c>
      <c r="R244" s="32" t="s">
        <v>681</v>
      </c>
      <c r="S244" s="33">
        <f>776.06</f>
        <v>776.06</v>
      </c>
      <c r="T244" s="30">
        <f>74410</f>
        <v>74410</v>
      </c>
      <c r="U244" s="30">
        <f>62040</f>
        <v>62040</v>
      </c>
      <c r="V244" s="30">
        <f>57293900</f>
        <v>57293900</v>
      </c>
      <c r="W244" s="30">
        <f>47714964</f>
        <v>47714964</v>
      </c>
      <c r="X244" s="34">
        <f>13</f>
        <v>13</v>
      </c>
    </row>
    <row r="245" spans="1:24">
      <c r="A245" s="25" t="s">
        <v>1167</v>
      </c>
      <c r="B245" s="25" t="s">
        <v>952</v>
      </c>
      <c r="C245" s="25" t="s">
        <v>953</v>
      </c>
      <c r="D245" s="25" t="s">
        <v>954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</v>
      </c>
      <c r="K245" s="31">
        <f>14880</f>
        <v>14880</v>
      </c>
      <c r="L245" s="32" t="s">
        <v>1110</v>
      </c>
      <c r="M245" s="31">
        <f>15760</f>
        <v>15760</v>
      </c>
      <c r="N245" s="32" t="s">
        <v>778</v>
      </c>
      <c r="O245" s="31">
        <f>14735</f>
        <v>14735</v>
      </c>
      <c r="P245" s="32" t="s">
        <v>1116</v>
      </c>
      <c r="Q245" s="31">
        <f>15390</f>
        <v>15390</v>
      </c>
      <c r="R245" s="32" t="s">
        <v>681</v>
      </c>
      <c r="S245" s="33">
        <f>15367.86</f>
        <v>15367.86</v>
      </c>
      <c r="T245" s="30">
        <f>193105</f>
        <v>193105</v>
      </c>
      <c r="U245" s="30">
        <f>107150</f>
        <v>107150</v>
      </c>
      <c r="V245" s="30">
        <f>2963651245</f>
        <v>2963651245</v>
      </c>
      <c r="W245" s="30">
        <f>1635180080</f>
        <v>1635180080</v>
      </c>
      <c r="X245" s="34">
        <f>21</f>
        <v>21</v>
      </c>
    </row>
    <row r="246" spans="1:24">
      <c r="A246" s="25" t="s">
        <v>1167</v>
      </c>
      <c r="B246" s="25" t="s">
        <v>955</v>
      </c>
      <c r="C246" s="25" t="s">
        <v>956</v>
      </c>
      <c r="D246" s="25" t="s">
        <v>957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39870</f>
        <v>39870</v>
      </c>
      <c r="L246" s="32" t="s">
        <v>1110</v>
      </c>
      <c r="M246" s="31">
        <f>42270</f>
        <v>42270</v>
      </c>
      <c r="N246" s="32" t="s">
        <v>778</v>
      </c>
      <c r="O246" s="31">
        <f>39810</f>
        <v>39810</v>
      </c>
      <c r="P246" s="32" t="s">
        <v>1116</v>
      </c>
      <c r="Q246" s="31">
        <f>41310</f>
        <v>41310</v>
      </c>
      <c r="R246" s="32" t="s">
        <v>681</v>
      </c>
      <c r="S246" s="33">
        <f>41464.76</f>
        <v>41464.76</v>
      </c>
      <c r="T246" s="30">
        <f>3115</f>
        <v>3115</v>
      </c>
      <c r="U246" s="30">
        <f>4</f>
        <v>4</v>
      </c>
      <c r="V246" s="30">
        <f>128706540</f>
        <v>128706540</v>
      </c>
      <c r="W246" s="30">
        <f>165240</f>
        <v>165240</v>
      </c>
      <c r="X246" s="34">
        <f>21</f>
        <v>21</v>
      </c>
    </row>
    <row r="247" spans="1:24">
      <c r="A247" s="25" t="s">
        <v>1167</v>
      </c>
      <c r="B247" s="25" t="s">
        <v>958</v>
      </c>
      <c r="C247" s="25" t="s">
        <v>959</v>
      </c>
      <c r="D247" s="25" t="s">
        <v>960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22935</f>
        <v>22935</v>
      </c>
      <c r="L247" s="32" t="s">
        <v>1110</v>
      </c>
      <c r="M247" s="31">
        <f>22955</f>
        <v>22955</v>
      </c>
      <c r="N247" s="32" t="s">
        <v>1110</v>
      </c>
      <c r="O247" s="31">
        <f>20180</f>
        <v>20180</v>
      </c>
      <c r="P247" s="32" t="s">
        <v>875</v>
      </c>
      <c r="Q247" s="31">
        <f>21295</f>
        <v>21295</v>
      </c>
      <c r="R247" s="32" t="s">
        <v>681</v>
      </c>
      <c r="S247" s="33">
        <f>21169.05</f>
        <v>21169.05</v>
      </c>
      <c r="T247" s="30">
        <f>30438</f>
        <v>30438</v>
      </c>
      <c r="U247" s="30">
        <f>34</f>
        <v>34</v>
      </c>
      <c r="V247" s="30">
        <f>644243525</f>
        <v>644243525</v>
      </c>
      <c r="W247" s="30">
        <f>716120</f>
        <v>716120</v>
      </c>
      <c r="X247" s="34">
        <f>21</f>
        <v>21</v>
      </c>
    </row>
    <row r="248" spans="1:24">
      <c r="A248" s="25" t="s">
        <v>1167</v>
      </c>
      <c r="B248" s="25" t="s">
        <v>961</v>
      </c>
      <c r="C248" s="25" t="s">
        <v>962</v>
      </c>
      <c r="D248" s="25" t="s">
        <v>963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239.9</f>
        <v>239.9</v>
      </c>
      <c r="L248" s="32" t="s">
        <v>1110</v>
      </c>
      <c r="M248" s="31">
        <f>242.5</f>
        <v>242.5</v>
      </c>
      <c r="N248" s="32" t="s">
        <v>683</v>
      </c>
      <c r="O248" s="31">
        <f>232.9</f>
        <v>232.9</v>
      </c>
      <c r="P248" s="32" t="s">
        <v>1123</v>
      </c>
      <c r="Q248" s="31">
        <f>240.3</f>
        <v>240.3</v>
      </c>
      <c r="R248" s="32" t="s">
        <v>681</v>
      </c>
      <c r="S248" s="33">
        <f>237.55</f>
        <v>237.55</v>
      </c>
      <c r="T248" s="30">
        <f>32990</f>
        <v>32990</v>
      </c>
      <c r="U248" s="30" t="str">
        <f>"－"</f>
        <v>－</v>
      </c>
      <c r="V248" s="30">
        <f>7835204</f>
        <v>7835204</v>
      </c>
      <c r="W248" s="30" t="str">
        <f>"－"</f>
        <v>－</v>
      </c>
      <c r="X248" s="34">
        <f>21</f>
        <v>21</v>
      </c>
    </row>
    <row r="249" spans="1:24">
      <c r="A249" s="25" t="s">
        <v>1167</v>
      </c>
      <c r="B249" s="25" t="s">
        <v>964</v>
      </c>
      <c r="C249" s="25" t="s">
        <v>965</v>
      </c>
      <c r="D249" s="25" t="s">
        <v>966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764</f>
        <v>764</v>
      </c>
      <c r="L249" s="32" t="s">
        <v>1110</v>
      </c>
      <c r="M249" s="31">
        <f>781.6</f>
        <v>781.6</v>
      </c>
      <c r="N249" s="32" t="s">
        <v>777</v>
      </c>
      <c r="O249" s="31">
        <f>751.4</f>
        <v>751.4</v>
      </c>
      <c r="P249" s="32" t="s">
        <v>682</v>
      </c>
      <c r="Q249" s="31">
        <f>780</f>
        <v>780</v>
      </c>
      <c r="R249" s="32" t="s">
        <v>681</v>
      </c>
      <c r="S249" s="33">
        <f>770.64</f>
        <v>770.64</v>
      </c>
      <c r="T249" s="30">
        <f>3977520</f>
        <v>3977520</v>
      </c>
      <c r="U249" s="30">
        <f>3788670</f>
        <v>3788670</v>
      </c>
      <c r="V249" s="30">
        <f>3063532787</f>
        <v>3063532787</v>
      </c>
      <c r="W249" s="30">
        <f>2917755897</f>
        <v>2917755897</v>
      </c>
      <c r="X249" s="34">
        <f>21</f>
        <v>21</v>
      </c>
    </row>
    <row r="250" spans="1:24">
      <c r="A250" s="25" t="s">
        <v>1167</v>
      </c>
      <c r="B250" s="25" t="s">
        <v>982</v>
      </c>
      <c r="C250" s="25" t="s">
        <v>983</v>
      </c>
      <c r="D250" s="25" t="s">
        <v>984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1168</f>
        <v>1168</v>
      </c>
      <c r="L250" s="32" t="s">
        <v>1110</v>
      </c>
      <c r="M250" s="31">
        <f>1196</f>
        <v>1196</v>
      </c>
      <c r="N250" s="32" t="s">
        <v>1112</v>
      </c>
      <c r="O250" s="31">
        <f>1123</f>
        <v>1123</v>
      </c>
      <c r="P250" s="32" t="s">
        <v>1116</v>
      </c>
      <c r="Q250" s="31">
        <f>1162</f>
        <v>1162</v>
      </c>
      <c r="R250" s="32" t="s">
        <v>681</v>
      </c>
      <c r="S250" s="33">
        <f>1174.86</f>
        <v>1174.8599999999999</v>
      </c>
      <c r="T250" s="30">
        <f>187375</f>
        <v>187375</v>
      </c>
      <c r="U250" s="30">
        <f>100</f>
        <v>100</v>
      </c>
      <c r="V250" s="30">
        <f>217954943</f>
        <v>217954943</v>
      </c>
      <c r="W250" s="30">
        <f>126600</f>
        <v>126600</v>
      </c>
      <c r="X250" s="34">
        <f>21</f>
        <v>21</v>
      </c>
    </row>
    <row r="251" spans="1:24">
      <c r="A251" s="25" t="s">
        <v>1167</v>
      </c>
      <c r="B251" s="25" t="s">
        <v>985</v>
      </c>
      <c r="C251" s="25" t="s">
        <v>986</v>
      </c>
      <c r="D251" s="25" t="s">
        <v>987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1158</f>
        <v>1158</v>
      </c>
      <c r="L251" s="32" t="s">
        <v>1110</v>
      </c>
      <c r="M251" s="31">
        <f>1192</f>
        <v>1192</v>
      </c>
      <c r="N251" s="32" t="s">
        <v>1112</v>
      </c>
      <c r="O251" s="31">
        <f>1138</f>
        <v>1138</v>
      </c>
      <c r="P251" s="32" t="s">
        <v>777</v>
      </c>
      <c r="Q251" s="31">
        <f>1152</f>
        <v>1152</v>
      </c>
      <c r="R251" s="32" t="s">
        <v>681</v>
      </c>
      <c r="S251" s="33">
        <f>1162.14</f>
        <v>1162.1400000000001</v>
      </c>
      <c r="T251" s="30">
        <f>176158</f>
        <v>176158</v>
      </c>
      <c r="U251" s="30" t="str">
        <f>"－"</f>
        <v>－</v>
      </c>
      <c r="V251" s="30">
        <f>205925943</f>
        <v>205925943</v>
      </c>
      <c r="W251" s="30" t="str">
        <f>"－"</f>
        <v>－</v>
      </c>
      <c r="X251" s="34">
        <f>21</f>
        <v>21</v>
      </c>
    </row>
    <row r="252" spans="1:24">
      <c r="A252" s="25" t="s">
        <v>1167</v>
      </c>
      <c r="B252" s="25" t="s">
        <v>988</v>
      </c>
      <c r="C252" s="25" t="s">
        <v>989</v>
      </c>
      <c r="D252" s="25" t="s">
        <v>990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843</f>
        <v>843</v>
      </c>
      <c r="L252" s="32" t="s">
        <v>1110</v>
      </c>
      <c r="M252" s="31">
        <f>876</f>
        <v>876</v>
      </c>
      <c r="N252" s="32" t="s">
        <v>759</v>
      </c>
      <c r="O252" s="31">
        <f>791</f>
        <v>791</v>
      </c>
      <c r="P252" s="32" t="s">
        <v>1111</v>
      </c>
      <c r="Q252" s="31">
        <f>816</f>
        <v>816</v>
      </c>
      <c r="R252" s="32" t="s">
        <v>681</v>
      </c>
      <c r="S252" s="33">
        <f>828.9</f>
        <v>828.9</v>
      </c>
      <c r="T252" s="30">
        <f>333072</f>
        <v>333072</v>
      </c>
      <c r="U252" s="30" t="str">
        <f>"－"</f>
        <v>－</v>
      </c>
      <c r="V252" s="30">
        <f>274579306</f>
        <v>274579306</v>
      </c>
      <c r="W252" s="30" t="str">
        <f>"－"</f>
        <v>－</v>
      </c>
      <c r="X252" s="34">
        <f>21</f>
        <v>21</v>
      </c>
    </row>
    <row r="253" spans="1:24">
      <c r="A253" s="25" t="s">
        <v>1167</v>
      </c>
      <c r="B253" s="25" t="s">
        <v>1059</v>
      </c>
      <c r="C253" s="25" t="s">
        <v>1060</v>
      </c>
      <c r="D253" s="25" t="s">
        <v>1061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209.8</f>
        <v>209.8</v>
      </c>
      <c r="L253" s="32" t="s">
        <v>1110</v>
      </c>
      <c r="M253" s="31">
        <f>228.8</f>
        <v>228.8</v>
      </c>
      <c r="N253" s="32" t="s">
        <v>1118</v>
      </c>
      <c r="O253" s="31">
        <f>207.6</f>
        <v>207.6</v>
      </c>
      <c r="P253" s="32" t="s">
        <v>1116</v>
      </c>
      <c r="Q253" s="31">
        <f>212.4</f>
        <v>212.4</v>
      </c>
      <c r="R253" s="32" t="s">
        <v>681</v>
      </c>
      <c r="S253" s="33">
        <f>213.68</f>
        <v>213.68</v>
      </c>
      <c r="T253" s="30">
        <f>9976540</f>
        <v>9976540</v>
      </c>
      <c r="U253" s="30">
        <f>280420</f>
        <v>280420</v>
      </c>
      <c r="V253" s="30">
        <f>2130600589</f>
        <v>2130600589</v>
      </c>
      <c r="W253" s="30">
        <f>60502009</f>
        <v>60502009</v>
      </c>
      <c r="X253" s="34">
        <f>21</f>
        <v>21</v>
      </c>
    </row>
    <row r="254" spans="1:24">
      <c r="A254" s="25" t="s">
        <v>1167</v>
      </c>
      <c r="B254" s="25" t="s">
        <v>1062</v>
      </c>
      <c r="C254" s="25" t="s">
        <v>1063</v>
      </c>
      <c r="D254" s="25" t="s">
        <v>1064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211.9</f>
        <v>211.9</v>
      </c>
      <c r="L254" s="32" t="s">
        <v>1110</v>
      </c>
      <c r="M254" s="31">
        <f>220</f>
        <v>220</v>
      </c>
      <c r="N254" s="32" t="s">
        <v>876</v>
      </c>
      <c r="O254" s="31">
        <f>209.2</f>
        <v>209.2</v>
      </c>
      <c r="P254" s="32" t="s">
        <v>1116</v>
      </c>
      <c r="Q254" s="31">
        <f>213.7</f>
        <v>213.7</v>
      </c>
      <c r="R254" s="32" t="s">
        <v>681</v>
      </c>
      <c r="S254" s="33">
        <f>213.39</f>
        <v>213.39</v>
      </c>
      <c r="T254" s="30">
        <f>2783830</f>
        <v>2783830</v>
      </c>
      <c r="U254" s="30">
        <f>117040</f>
        <v>117040</v>
      </c>
      <c r="V254" s="30">
        <f>593978726</f>
        <v>593978726</v>
      </c>
      <c r="W254" s="30">
        <f>25034856</f>
        <v>25034856</v>
      </c>
      <c r="X254" s="34">
        <f>21</f>
        <v>21</v>
      </c>
    </row>
    <row r="255" spans="1:24">
      <c r="A255" s="25" t="s">
        <v>1167</v>
      </c>
      <c r="B255" s="25" t="s">
        <v>1065</v>
      </c>
      <c r="C255" s="25" t="s">
        <v>1066</v>
      </c>
      <c r="D255" s="25" t="s">
        <v>1067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214.2</f>
        <v>214.2</v>
      </c>
      <c r="L255" s="32" t="s">
        <v>1110</v>
      </c>
      <c r="M255" s="31">
        <f>221.4</f>
        <v>221.4</v>
      </c>
      <c r="N255" s="32" t="s">
        <v>1113</v>
      </c>
      <c r="O255" s="31">
        <f>211.7</f>
        <v>211.7</v>
      </c>
      <c r="P255" s="32" t="s">
        <v>1116</v>
      </c>
      <c r="Q255" s="31">
        <f>215.3</f>
        <v>215.3</v>
      </c>
      <c r="R255" s="32" t="s">
        <v>681</v>
      </c>
      <c r="S255" s="33">
        <f>215.03</f>
        <v>215.03</v>
      </c>
      <c r="T255" s="30">
        <f>719310</f>
        <v>719310</v>
      </c>
      <c r="U255" s="30">
        <f>320</f>
        <v>320</v>
      </c>
      <c r="V255" s="30">
        <f>154888601</f>
        <v>154888601</v>
      </c>
      <c r="W255" s="30">
        <f>67448</f>
        <v>67448</v>
      </c>
      <c r="X255" s="34">
        <f>21</f>
        <v>21</v>
      </c>
    </row>
    <row r="256" spans="1:24">
      <c r="A256" s="25" t="s">
        <v>1167</v>
      </c>
      <c r="B256" s="25" t="s">
        <v>1068</v>
      </c>
      <c r="C256" s="25" t="s">
        <v>1069</v>
      </c>
      <c r="D256" s="25" t="s">
        <v>1070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215.2</f>
        <v>215.2</v>
      </c>
      <c r="L256" s="32" t="s">
        <v>1110</v>
      </c>
      <c r="M256" s="31">
        <f>224.1</f>
        <v>224.1</v>
      </c>
      <c r="N256" s="32" t="s">
        <v>1115</v>
      </c>
      <c r="O256" s="31">
        <f>214.3</f>
        <v>214.3</v>
      </c>
      <c r="P256" s="32" t="s">
        <v>1115</v>
      </c>
      <c r="Q256" s="31">
        <f>217.7</f>
        <v>217.7</v>
      </c>
      <c r="R256" s="32" t="s">
        <v>681</v>
      </c>
      <c r="S256" s="33">
        <f>217.19</f>
        <v>217.19</v>
      </c>
      <c r="T256" s="30">
        <f>594040</f>
        <v>594040</v>
      </c>
      <c r="U256" s="30">
        <f>5200</f>
        <v>5200</v>
      </c>
      <c r="V256" s="30">
        <f>128958222</f>
        <v>128958222</v>
      </c>
      <c r="W256" s="30">
        <f>1095566</f>
        <v>1095566</v>
      </c>
      <c r="X256" s="34">
        <f>21</f>
        <v>21</v>
      </c>
    </row>
    <row r="257" spans="1:24">
      <c r="A257" s="25" t="s">
        <v>1167</v>
      </c>
      <c r="B257" s="25" t="s">
        <v>1071</v>
      </c>
      <c r="C257" s="25" t="s">
        <v>1072</v>
      </c>
      <c r="D257" s="25" t="s">
        <v>1073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10</v>
      </c>
      <c r="K257" s="31">
        <f>203.5</f>
        <v>203.5</v>
      </c>
      <c r="L257" s="32" t="s">
        <v>1110</v>
      </c>
      <c r="M257" s="31">
        <f>203.5</f>
        <v>203.5</v>
      </c>
      <c r="N257" s="32" t="s">
        <v>1110</v>
      </c>
      <c r="O257" s="31">
        <f>192</f>
        <v>192</v>
      </c>
      <c r="P257" s="32" t="s">
        <v>875</v>
      </c>
      <c r="Q257" s="31">
        <f>197.8</f>
        <v>197.8</v>
      </c>
      <c r="R257" s="32" t="s">
        <v>681</v>
      </c>
      <c r="S257" s="33">
        <f>199.78</f>
        <v>199.78</v>
      </c>
      <c r="T257" s="30">
        <f>11698250</f>
        <v>11698250</v>
      </c>
      <c r="U257" s="30">
        <f>11663290</f>
        <v>11663290</v>
      </c>
      <c r="V257" s="30">
        <f>2331588111</f>
        <v>2331588111</v>
      </c>
      <c r="W257" s="30">
        <f>2324609583</f>
        <v>2324609583</v>
      </c>
      <c r="X257" s="34">
        <f>19</f>
        <v>19</v>
      </c>
    </row>
    <row r="258" spans="1:24">
      <c r="A258" s="25" t="s">
        <v>1167</v>
      </c>
      <c r="B258" s="25" t="s">
        <v>539</v>
      </c>
      <c r="C258" s="25" t="s">
        <v>540</v>
      </c>
      <c r="D258" s="25" t="s">
        <v>541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919.8</f>
        <v>919.8</v>
      </c>
      <c r="L258" s="32" t="s">
        <v>1110</v>
      </c>
      <c r="M258" s="31">
        <f>920.4</f>
        <v>920.4</v>
      </c>
      <c r="N258" s="32" t="s">
        <v>1110</v>
      </c>
      <c r="O258" s="31">
        <f>899.8</f>
        <v>899.8</v>
      </c>
      <c r="P258" s="32" t="s">
        <v>777</v>
      </c>
      <c r="Q258" s="31">
        <f>902.4</f>
        <v>902.4</v>
      </c>
      <c r="R258" s="32" t="s">
        <v>681</v>
      </c>
      <c r="S258" s="33">
        <f>909.42</f>
        <v>909.42</v>
      </c>
      <c r="T258" s="30">
        <f>43789560</f>
        <v>43789560</v>
      </c>
      <c r="U258" s="30">
        <f>42909280</f>
        <v>42909280</v>
      </c>
      <c r="V258" s="30">
        <f>40006637567</f>
        <v>40006637567</v>
      </c>
      <c r="W258" s="30">
        <f>39205488506</f>
        <v>39205488506</v>
      </c>
      <c r="X258" s="34">
        <f>21</f>
        <v>21</v>
      </c>
    </row>
    <row r="259" spans="1:24">
      <c r="A259" s="25" t="s">
        <v>1167</v>
      </c>
      <c r="B259" s="25" t="s">
        <v>542</v>
      </c>
      <c r="C259" s="25" t="s">
        <v>543</v>
      </c>
      <c r="D259" s="25" t="s">
        <v>544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1110</f>
        <v>1110</v>
      </c>
      <c r="L259" s="32" t="s">
        <v>1110</v>
      </c>
      <c r="M259" s="31">
        <f>1125</f>
        <v>1125</v>
      </c>
      <c r="N259" s="32" t="s">
        <v>1118</v>
      </c>
      <c r="O259" s="31">
        <f>1093.5</f>
        <v>1093.5</v>
      </c>
      <c r="P259" s="32" t="s">
        <v>1115</v>
      </c>
      <c r="Q259" s="31">
        <f>1111</f>
        <v>1111</v>
      </c>
      <c r="R259" s="32" t="s">
        <v>681</v>
      </c>
      <c r="S259" s="33">
        <f>1110.12</f>
        <v>1110.1199999999999</v>
      </c>
      <c r="T259" s="30">
        <f>1808830</f>
        <v>1808830</v>
      </c>
      <c r="U259" s="30">
        <f>523050</f>
        <v>523050</v>
      </c>
      <c r="V259" s="30">
        <f>2009461942</f>
        <v>2009461942</v>
      </c>
      <c r="W259" s="30">
        <f>582225072</f>
        <v>582225072</v>
      </c>
      <c r="X259" s="34">
        <f>21</f>
        <v>21</v>
      </c>
    </row>
    <row r="260" spans="1:24">
      <c r="A260" s="25" t="s">
        <v>1167</v>
      </c>
      <c r="B260" s="25" t="s">
        <v>545</v>
      </c>
      <c r="C260" s="25" t="s">
        <v>546</v>
      </c>
      <c r="D260" s="25" t="s">
        <v>547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772.9</f>
        <v>772.9</v>
      </c>
      <c r="L260" s="32" t="s">
        <v>1110</v>
      </c>
      <c r="M260" s="31">
        <f>808</f>
        <v>808</v>
      </c>
      <c r="N260" s="32" t="s">
        <v>1118</v>
      </c>
      <c r="O260" s="31">
        <f>767.7</f>
        <v>767.7</v>
      </c>
      <c r="P260" s="32" t="s">
        <v>777</v>
      </c>
      <c r="Q260" s="31">
        <f>771.8</f>
        <v>771.8</v>
      </c>
      <c r="R260" s="32" t="s">
        <v>681</v>
      </c>
      <c r="S260" s="33">
        <f>776.25</f>
        <v>776.25</v>
      </c>
      <c r="T260" s="30">
        <f>39932490</f>
        <v>39932490</v>
      </c>
      <c r="U260" s="30">
        <f>38852670</f>
        <v>38852670</v>
      </c>
      <c r="V260" s="30">
        <f>31034533202</f>
        <v>31034533202</v>
      </c>
      <c r="W260" s="30">
        <f>30196596762</f>
        <v>30196596762</v>
      </c>
      <c r="X260" s="34">
        <f>21</f>
        <v>21</v>
      </c>
    </row>
    <row r="261" spans="1:24">
      <c r="A261" s="25" t="s">
        <v>1167</v>
      </c>
      <c r="B261" s="25" t="s">
        <v>548</v>
      </c>
      <c r="C261" s="25" t="s">
        <v>549</v>
      </c>
      <c r="D261" s="25" t="s">
        <v>550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2376</f>
        <v>2376</v>
      </c>
      <c r="L261" s="32" t="s">
        <v>1110</v>
      </c>
      <c r="M261" s="31">
        <f>2517</f>
        <v>2517</v>
      </c>
      <c r="N261" s="32" t="s">
        <v>1114</v>
      </c>
      <c r="O261" s="31">
        <f>2347.5</f>
        <v>2347.5</v>
      </c>
      <c r="P261" s="32" t="s">
        <v>759</v>
      </c>
      <c r="Q261" s="31">
        <f>2458</f>
        <v>2458</v>
      </c>
      <c r="R261" s="32" t="s">
        <v>681</v>
      </c>
      <c r="S261" s="33">
        <f>2455.86</f>
        <v>2455.86</v>
      </c>
      <c r="T261" s="30">
        <f>661480</f>
        <v>661480</v>
      </c>
      <c r="U261" s="30">
        <f>291250</f>
        <v>291250</v>
      </c>
      <c r="V261" s="30">
        <f>1626462034</f>
        <v>1626462034</v>
      </c>
      <c r="W261" s="30">
        <f>714699899</f>
        <v>714699899</v>
      </c>
      <c r="X261" s="34">
        <f>21</f>
        <v>21</v>
      </c>
    </row>
    <row r="262" spans="1:24">
      <c r="A262" s="25" t="s">
        <v>1167</v>
      </c>
      <c r="B262" s="25" t="s">
        <v>551</v>
      </c>
      <c r="C262" s="25" t="s">
        <v>552</v>
      </c>
      <c r="D262" s="25" t="s">
        <v>553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1509.5</f>
        <v>1509.5</v>
      </c>
      <c r="L262" s="32" t="s">
        <v>1110</v>
      </c>
      <c r="M262" s="31">
        <f>1600</f>
        <v>1600</v>
      </c>
      <c r="N262" s="32" t="s">
        <v>1118</v>
      </c>
      <c r="O262" s="31">
        <f>1498</f>
        <v>1498</v>
      </c>
      <c r="P262" s="32" t="s">
        <v>1116</v>
      </c>
      <c r="Q262" s="31">
        <f>1551.5</f>
        <v>1551.5</v>
      </c>
      <c r="R262" s="32" t="s">
        <v>681</v>
      </c>
      <c r="S262" s="33">
        <f>1560.21</f>
        <v>1560.21</v>
      </c>
      <c r="T262" s="30">
        <f>79030</f>
        <v>79030</v>
      </c>
      <c r="U262" s="30">
        <f>9640</f>
        <v>9640</v>
      </c>
      <c r="V262" s="30">
        <f>122526661</f>
        <v>122526661</v>
      </c>
      <c r="W262" s="30">
        <f>15013076</f>
        <v>15013076</v>
      </c>
      <c r="X262" s="34">
        <f>21</f>
        <v>21</v>
      </c>
    </row>
    <row r="263" spans="1:24">
      <c r="A263" s="25" t="s">
        <v>1167</v>
      </c>
      <c r="B263" s="25" t="s">
        <v>554</v>
      </c>
      <c r="C263" s="25" t="s">
        <v>555</v>
      </c>
      <c r="D263" s="25" t="s">
        <v>556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1320</f>
        <v>1320</v>
      </c>
      <c r="L263" s="32" t="s">
        <v>1110</v>
      </c>
      <c r="M263" s="31">
        <f>1448.5</f>
        <v>1448.5</v>
      </c>
      <c r="N263" s="32" t="s">
        <v>1118</v>
      </c>
      <c r="O263" s="31">
        <f>1303</f>
        <v>1303</v>
      </c>
      <c r="P263" s="32" t="s">
        <v>1116</v>
      </c>
      <c r="Q263" s="31">
        <f>1354</f>
        <v>1354</v>
      </c>
      <c r="R263" s="32" t="s">
        <v>681</v>
      </c>
      <c r="S263" s="33">
        <f>1361.6</f>
        <v>1361.6</v>
      </c>
      <c r="T263" s="30">
        <f>1137160</f>
        <v>1137160</v>
      </c>
      <c r="U263" s="30">
        <f>491390</f>
        <v>491390</v>
      </c>
      <c r="V263" s="30">
        <f>1555817852</f>
        <v>1555817852</v>
      </c>
      <c r="W263" s="30">
        <f>678158322</f>
        <v>678158322</v>
      </c>
      <c r="X263" s="34">
        <f>21</f>
        <v>21</v>
      </c>
    </row>
    <row r="264" spans="1:24">
      <c r="A264" s="25" t="s">
        <v>1167</v>
      </c>
      <c r="B264" s="25" t="s">
        <v>557</v>
      </c>
      <c r="C264" s="25" t="s">
        <v>1074</v>
      </c>
      <c r="D264" s="25" t="s">
        <v>1075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10</v>
      </c>
      <c r="K264" s="31">
        <f>501.9</f>
        <v>501.9</v>
      </c>
      <c r="L264" s="32" t="s">
        <v>1110</v>
      </c>
      <c r="M264" s="31">
        <f>521.4</f>
        <v>521.4</v>
      </c>
      <c r="N264" s="32" t="s">
        <v>1113</v>
      </c>
      <c r="O264" s="31">
        <f>461</f>
        <v>461</v>
      </c>
      <c r="P264" s="32" t="s">
        <v>777</v>
      </c>
      <c r="Q264" s="31">
        <f>482.6</f>
        <v>482.6</v>
      </c>
      <c r="R264" s="32" t="s">
        <v>681</v>
      </c>
      <c r="S264" s="33">
        <f>494.81</f>
        <v>494.81</v>
      </c>
      <c r="T264" s="30">
        <f>34661220</f>
        <v>34661220</v>
      </c>
      <c r="U264" s="30">
        <f>1993230</f>
        <v>1993230</v>
      </c>
      <c r="V264" s="30">
        <f>17073718324</f>
        <v>17073718324</v>
      </c>
      <c r="W264" s="30">
        <f>977532951</f>
        <v>977532951</v>
      </c>
      <c r="X264" s="34">
        <f>21</f>
        <v>21</v>
      </c>
    </row>
    <row r="265" spans="1:24">
      <c r="A265" s="25" t="s">
        <v>1167</v>
      </c>
      <c r="B265" s="25" t="s">
        <v>558</v>
      </c>
      <c r="C265" s="25" t="s">
        <v>559</v>
      </c>
      <c r="D265" s="25" t="s">
        <v>560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1100</f>
        <v>1100</v>
      </c>
      <c r="L265" s="32" t="s">
        <v>1110</v>
      </c>
      <c r="M265" s="31">
        <f>1120</f>
        <v>1120</v>
      </c>
      <c r="N265" s="32" t="s">
        <v>1113</v>
      </c>
      <c r="O265" s="31">
        <f>1038</f>
        <v>1038</v>
      </c>
      <c r="P265" s="32" t="s">
        <v>777</v>
      </c>
      <c r="Q265" s="31">
        <f>1049.5</f>
        <v>1049.5</v>
      </c>
      <c r="R265" s="32" t="s">
        <v>681</v>
      </c>
      <c r="S265" s="33">
        <f>1079.55</f>
        <v>1079.55</v>
      </c>
      <c r="T265" s="30">
        <f>2106490</f>
        <v>2106490</v>
      </c>
      <c r="U265" s="30">
        <f>1961120</f>
        <v>1961120</v>
      </c>
      <c r="V265" s="30">
        <f>2298992250</f>
        <v>2298992250</v>
      </c>
      <c r="W265" s="30">
        <f>2141313600</f>
        <v>2141313600</v>
      </c>
      <c r="X265" s="34">
        <f>21</f>
        <v>21</v>
      </c>
    </row>
    <row r="266" spans="1:24">
      <c r="A266" s="25" t="s">
        <v>1167</v>
      </c>
      <c r="B266" s="25" t="s">
        <v>561</v>
      </c>
      <c r="C266" s="25" t="s">
        <v>562</v>
      </c>
      <c r="D266" s="25" t="s">
        <v>563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</v>
      </c>
      <c r="K266" s="31">
        <f>1525</f>
        <v>1525</v>
      </c>
      <c r="L266" s="32" t="s">
        <v>1110</v>
      </c>
      <c r="M266" s="31">
        <f>1589</f>
        <v>1589</v>
      </c>
      <c r="N266" s="32" t="s">
        <v>777</v>
      </c>
      <c r="O266" s="31">
        <f>1515</f>
        <v>1515</v>
      </c>
      <c r="P266" s="32" t="s">
        <v>1116</v>
      </c>
      <c r="Q266" s="31">
        <f>1564</f>
        <v>1564</v>
      </c>
      <c r="R266" s="32" t="s">
        <v>681</v>
      </c>
      <c r="S266" s="33">
        <f>1539.9</f>
        <v>1539.9</v>
      </c>
      <c r="T266" s="30">
        <f>15284</f>
        <v>15284</v>
      </c>
      <c r="U266" s="30">
        <f>2</f>
        <v>2</v>
      </c>
      <c r="V266" s="30">
        <f>23398012</f>
        <v>23398012</v>
      </c>
      <c r="W266" s="30">
        <f>3040</f>
        <v>3040</v>
      </c>
      <c r="X266" s="34">
        <f>21</f>
        <v>21</v>
      </c>
    </row>
    <row r="267" spans="1:24">
      <c r="A267" s="25" t="s">
        <v>1167</v>
      </c>
      <c r="B267" s="25" t="s">
        <v>564</v>
      </c>
      <c r="C267" s="25" t="s">
        <v>565</v>
      </c>
      <c r="D267" s="25" t="s">
        <v>566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1074</f>
        <v>1074</v>
      </c>
      <c r="L267" s="32" t="s">
        <v>1110</v>
      </c>
      <c r="M267" s="31">
        <f>1094.5</f>
        <v>1094.5</v>
      </c>
      <c r="N267" s="32" t="s">
        <v>883</v>
      </c>
      <c r="O267" s="31">
        <f>1060</f>
        <v>1060</v>
      </c>
      <c r="P267" s="32" t="s">
        <v>1116</v>
      </c>
      <c r="Q267" s="31">
        <f>1078</f>
        <v>1078</v>
      </c>
      <c r="R267" s="32" t="s">
        <v>681</v>
      </c>
      <c r="S267" s="33">
        <f>1079.67</f>
        <v>1079.67</v>
      </c>
      <c r="T267" s="30">
        <f>218370</f>
        <v>218370</v>
      </c>
      <c r="U267" s="30">
        <f>130980</f>
        <v>130980</v>
      </c>
      <c r="V267" s="30">
        <f>235412838</f>
        <v>235412838</v>
      </c>
      <c r="W267" s="30">
        <f>141034158</f>
        <v>141034158</v>
      </c>
      <c r="X267" s="34">
        <f>21</f>
        <v>21</v>
      </c>
    </row>
    <row r="268" spans="1:24">
      <c r="A268" s="25" t="s">
        <v>1167</v>
      </c>
      <c r="B268" s="25" t="s">
        <v>567</v>
      </c>
      <c r="C268" s="25" t="s">
        <v>568</v>
      </c>
      <c r="D268" s="25" t="s">
        <v>569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1435</f>
        <v>1435</v>
      </c>
      <c r="L268" s="32" t="s">
        <v>1110</v>
      </c>
      <c r="M268" s="31">
        <f>1600</f>
        <v>1600</v>
      </c>
      <c r="N268" s="32" t="s">
        <v>1118</v>
      </c>
      <c r="O268" s="31">
        <f>1397</f>
        <v>1397</v>
      </c>
      <c r="P268" s="32" t="s">
        <v>1110</v>
      </c>
      <c r="Q268" s="31">
        <f>1445</f>
        <v>1445</v>
      </c>
      <c r="R268" s="32" t="s">
        <v>681</v>
      </c>
      <c r="S268" s="33">
        <f>1485.05</f>
        <v>1485.05</v>
      </c>
      <c r="T268" s="30">
        <f>261270</f>
        <v>261270</v>
      </c>
      <c r="U268" s="30">
        <f>130730</f>
        <v>130730</v>
      </c>
      <c r="V268" s="30">
        <f>383046281</f>
        <v>383046281</v>
      </c>
      <c r="W268" s="30">
        <f>188865631</f>
        <v>188865631</v>
      </c>
      <c r="X268" s="34">
        <f>21</f>
        <v>21</v>
      </c>
    </row>
    <row r="269" spans="1:24">
      <c r="A269" s="25" t="s">
        <v>1167</v>
      </c>
      <c r="B269" s="25" t="s">
        <v>570</v>
      </c>
      <c r="C269" s="25" t="s">
        <v>571</v>
      </c>
      <c r="D269" s="25" t="s">
        <v>572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1565.5</f>
        <v>1565.5</v>
      </c>
      <c r="L269" s="32" t="s">
        <v>1110</v>
      </c>
      <c r="M269" s="31">
        <f>1660</f>
        <v>1660</v>
      </c>
      <c r="N269" s="32" t="s">
        <v>778</v>
      </c>
      <c r="O269" s="31">
        <f>1565</f>
        <v>1565</v>
      </c>
      <c r="P269" s="32" t="s">
        <v>1110</v>
      </c>
      <c r="Q269" s="31">
        <f>1621</f>
        <v>1621</v>
      </c>
      <c r="R269" s="32" t="s">
        <v>681</v>
      </c>
      <c r="S269" s="33">
        <f>1629.6</f>
        <v>1629.6</v>
      </c>
      <c r="T269" s="30">
        <f>5582540</f>
        <v>5582540</v>
      </c>
      <c r="U269" s="30">
        <f>4841740</f>
        <v>4841740</v>
      </c>
      <c r="V269" s="30">
        <f>9174965340</f>
        <v>9174965340</v>
      </c>
      <c r="W269" s="30">
        <f>7966245750</f>
        <v>7966245750</v>
      </c>
      <c r="X269" s="34">
        <f>21</f>
        <v>21</v>
      </c>
    </row>
    <row r="270" spans="1:24">
      <c r="A270" s="25" t="s">
        <v>1167</v>
      </c>
      <c r="B270" s="25" t="s">
        <v>573</v>
      </c>
      <c r="C270" s="25" t="s">
        <v>574</v>
      </c>
      <c r="D270" s="25" t="s">
        <v>575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</v>
      </c>
      <c r="K270" s="31">
        <f>5210</f>
        <v>5210</v>
      </c>
      <c r="L270" s="32" t="s">
        <v>1110</v>
      </c>
      <c r="M270" s="31">
        <f>5550</f>
        <v>5550</v>
      </c>
      <c r="N270" s="32" t="s">
        <v>778</v>
      </c>
      <c r="O270" s="31">
        <f>5160</f>
        <v>5160</v>
      </c>
      <c r="P270" s="32" t="s">
        <v>1116</v>
      </c>
      <c r="Q270" s="31">
        <f>5290</f>
        <v>5290</v>
      </c>
      <c r="R270" s="32" t="s">
        <v>681</v>
      </c>
      <c r="S270" s="33">
        <f>5385.24</f>
        <v>5385.24</v>
      </c>
      <c r="T270" s="30">
        <f>240072</f>
        <v>240072</v>
      </c>
      <c r="U270" s="30">
        <f>200000</f>
        <v>200000</v>
      </c>
      <c r="V270" s="30">
        <f>1300297800</f>
        <v>1300297800</v>
      </c>
      <c r="W270" s="30">
        <f>1085449900</f>
        <v>1085449900</v>
      </c>
      <c r="X270" s="34">
        <f>21</f>
        <v>21</v>
      </c>
    </row>
    <row r="271" spans="1:24">
      <c r="A271" s="25" t="s">
        <v>1167</v>
      </c>
      <c r="B271" s="25" t="s">
        <v>576</v>
      </c>
      <c r="C271" s="25" t="s">
        <v>577</v>
      </c>
      <c r="D271" s="25" t="s">
        <v>578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2347</f>
        <v>2347</v>
      </c>
      <c r="L271" s="32" t="s">
        <v>778</v>
      </c>
      <c r="M271" s="31">
        <f>2347</f>
        <v>2347</v>
      </c>
      <c r="N271" s="32" t="s">
        <v>778</v>
      </c>
      <c r="O271" s="31">
        <f>2331</f>
        <v>2331</v>
      </c>
      <c r="P271" s="32" t="s">
        <v>1114</v>
      </c>
      <c r="Q271" s="31">
        <f>2331</f>
        <v>2331</v>
      </c>
      <c r="R271" s="32" t="s">
        <v>1114</v>
      </c>
      <c r="S271" s="33">
        <f>2339</f>
        <v>2339</v>
      </c>
      <c r="T271" s="30">
        <f>90</f>
        <v>90</v>
      </c>
      <c r="U271" s="30" t="str">
        <f>"－"</f>
        <v>－</v>
      </c>
      <c r="V271" s="30">
        <f>209950</f>
        <v>209950</v>
      </c>
      <c r="W271" s="30" t="str">
        <f>"－"</f>
        <v>－</v>
      </c>
      <c r="X271" s="34">
        <f>2</f>
        <v>2</v>
      </c>
    </row>
    <row r="272" spans="1:24">
      <c r="A272" s="25" t="s">
        <v>1167</v>
      </c>
      <c r="B272" s="25" t="s">
        <v>579</v>
      </c>
      <c r="C272" s="25" t="s">
        <v>580</v>
      </c>
      <c r="D272" s="25" t="s">
        <v>581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2803.5</f>
        <v>2803.5</v>
      </c>
      <c r="L272" s="32" t="s">
        <v>1110</v>
      </c>
      <c r="M272" s="31">
        <f>2898.5</f>
        <v>2898.5</v>
      </c>
      <c r="N272" s="32" t="s">
        <v>1118</v>
      </c>
      <c r="O272" s="31">
        <f>2784.5</f>
        <v>2784.5</v>
      </c>
      <c r="P272" s="32" t="s">
        <v>777</v>
      </c>
      <c r="Q272" s="31">
        <f>2805</f>
        <v>2805</v>
      </c>
      <c r="R272" s="32" t="s">
        <v>777</v>
      </c>
      <c r="S272" s="33">
        <f>2820.7</f>
        <v>2820.7</v>
      </c>
      <c r="T272" s="30">
        <f>232090</f>
        <v>232090</v>
      </c>
      <c r="U272" s="30">
        <f>165000</f>
        <v>165000</v>
      </c>
      <c r="V272" s="30">
        <f>655681515</f>
        <v>655681515</v>
      </c>
      <c r="W272" s="30">
        <f>465630000</f>
        <v>465630000</v>
      </c>
      <c r="X272" s="34">
        <f>15</f>
        <v>15</v>
      </c>
    </row>
    <row r="273" spans="1:24">
      <c r="A273" s="25" t="s">
        <v>1167</v>
      </c>
      <c r="B273" s="25" t="s">
        <v>582</v>
      </c>
      <c r="C273" s="25" t="s">
        <v>583</v>
      </c>
      <c r="D273" s="25" t="s">
        <v>584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</v>
      </c>
      <c r="K273" s="31">
        <f>39020</f>
        <v>39020</v>
      </c>
      <c r="L273" s="32" t="s">
        <v>1110</v>
      </c>
      <c r="M273" s="31">
        <f>40080</f>
        <v>40080</v>
      </c>
      <c r="N273" s="32" t="s">
        <v>1118</v>
      </c>
      <c r="O273" s="31">
        <f>38350</f>
        <v>38350</v>
      </c>
      <c r="P273" s="32" t="s">
        <v>777</v>
      </c>
      <c r="Q273" s="31">
        <f>38910</f>
        <v>38910</v>
      </c>
      <c r="R273" s="32" t="s">
        <v>681</v>
      </c>
      <c r="S273" s="33">
        <f>39261</f>
        <v>39261</v>
      </c>
      <c r="T273" s="30">
        <f>70301</f>
        <v>70301</v>
      </c>
      <c r="U273" s="30">
        <f>30600</f>
        <v>30600</v>
      </c>
      <c r="V273" s="30">
        <f>2768352020</f>
        <v>2768352020</v>
      </c>
      <c r="W273" s="30">
        <f>1214836300</f>
        <v>1214836300</v>
      </c>
      <c r="X273" s="34">
        <f>20</f>
        <v>20</v>
      </c>
    </row>
    <row r="274" spans="1:24">
      <c r="A274" s="25" t="s">
        <v>1167</v>
      </c>
      <c r="B274" s="25" t="s">
        <v>585</v>
      </c>
      <c r="C274" s="25" t="s">
        <v>586</v>
      </c>
      <c r="D274" s="25" t="s">
        <v>587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</v>
      </c>
      <c r="K274" s="31">
        <f>25315</f>
        <v>25315</v>
      </c>
      <c r="L274" s="32" t="s">
        <v>1110</v>
      </c>
      <c r="M274" s="31">
        <f>26135</f>
        <v>26135</v>
      </c>
      <c r="N274" s="32" t="s">
        <v>874</v>
      </c>
      <c r="O274" s="31">
        <f>25135</f>
        <v>25135</v>
      </c>
      <c r="P274" s="32" t="s">
        <v>777</v>
      </c>
      <c r="Q274" s="31">
        <f>25265</f>
        <v>25265</v>
      </c>
      <c r="R274" s="32" t="s">
        <v>777</v>
      </c>
      <c r="S274" s="33">
        <f>25565</f>
        <v>25565</v>
      </c>
      <c r="T274" s="30">
        <f>751</f>
        <v>751</v>
      </c>
      <c r="U274" s="30" t="str">
        <f>"－"</f>
        <v>－</v>
      </c>
      <c r="V274" s="30">
        <f>19165580</f>
        <v>19165580</v>
      </c>
      <c r="W274" s="30" t="str">
        <f>"－"</f>
        <v>－</v>
      </c>
      <c r="X274" s="34">
        <f>7</f>
        <v>7</v>
      </c>
    </row>
    <row r="275" spans="1:24">
      <c r="A275" s="25" t="s">
        <v>1167</v>
      </c>
      <c r="B275" s="25" t="s">
        <v>588</v>
      </c>
      <c r="C275" s="25" t="s">
        <v>589</v>
      </c>
      <c r="D275" s="25" t="s">
        <v>590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1118.5</f>
        <v>1118.5</v>
      </c>
      <c r="L275" s="32" t="s">
        <v>1116</v>
      </c>
      <c r="M275" s="31">
        <f>1123</f>
        <v>1123</v>
      </c>
      <c r="N275" s="32" t="s">
        <v>1115</v>
      </c>
      <c r="O275" s="31">
        <f>1063</f>
        <v>1063</v>
      </c>
      <c r="P275" s="32" t="s">
        <v>883</v>
      </c>
      <c r="Q275" s="31">
        <f>1063.5</f>
        <v>1063.5</v>
      </c>
      <c r="R275" s="32" t="s">
        <v>681</v>
      </c>
      <c r="S275" s="33">
        <f>1095.71</f>
        <v>1095.71</v>
      </c>
      <c r="T275" s="30">
        <f>838050</f>
        <v>838050</v>
      </c>
      <c r="U275" s="30">
        <f>760000</f>
        <v>760000</v>
      </c>
      <c r="V275" s="30">
        <f>903835515</f>
        <v>903835515</v>
      </c>
      <c r="W275" s="30">
        <f>818030450</f>
        <v>818030450</v>
      </c>
      <c r="X275" s="34">
        <f>17</f>
        <v>17</v>
      </c>
    </row>
    <row r="276" spans="1:24">
      <c r="A276" s="25" t="s">
        <v>1167</v>
      </c>
      <c r="B276" s="25" t="s">
        <v>591</v>
      </c>
      <c r="C276" s="25" t="s">
        <v>946</v>
      </c>
      <c r="D276" s="25" t="s">
        <v>947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1092</f>
        <v>1092</v>
      </c>
      <c r="L276" s="32" t="s">
        <v>1110</v>
      </c>
      <c r="M276" s="31">
        <f>1106</f>
        <v>1106</v>
      </c>
      <c r="N276" s="32" t="s">
        <v>1116</v>
      </c>
      <c r="O276" s="31">
        <f>1039.5</f>
        <v>1039.5</v>
      </c>
      <c r="P276" s="32" t="s">
        <v>777</v>
      </c>
      <c r="Q276" s="31">
        <f>1050.5</f>
        <v>1050.5</v>
      </c>
      <c r="R276" s="32" t="s">
        <v>681</v>
      </c>
      <c r="S276" s="33">
        <f>1077.55</f>
        <v>1077.55</v>
      </c>
      <c r="T276" s="30">
        <f>1159630</f>
        <v>1159630</v>
      </c>
      <c r="U276" s="30">
        <f>1109020</f>
        <v>1109020</v>
      </c>
      <c r="V276" s="30">
        <f>1250366365</f>
        <v>1250366365</v>
      </c>
      <c r="W276" s="30">
        <f>1195808580</f>
        <v>1195808580</v>
      </c>
      <c r="X276" s="34">
        <f>20</f>
        <v>20</v>
      </c>
    </row>
    <row r="277" spans="1:24">
      <c r="A277" s="25" t="s">
        <v>1167</v>
      </c>
      <c r="B277" s="25" t="s">
        <v>592</v>
      </c>
      <c r="C277" s="25" t="s">
        <v>593</v>
      </c>
      <c r="D277" s="25" t="s">
        <v>594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1739</f>
        <v>1739</v>
      </c>
      <c r="L277" s="32" t="s">
        <v>1110</v>
      </c>
      <c r="M277" s="31">
        <f>1758</f>
        <v>1758</v>
      </c>
      <c r="N277" s="32" t="s">
        <v>759</v>
      </c>
      <c r="O277" s="31">
        <f>1698</f>
        <v>1698</v>
      </c>
      <c r="P277" s="32" t="s">
        <v>777</v>
      </c>
      <c r="Q277" s="31">
        <f>1744</f>
        <v>1744</v>
      </c>
      <c r="R277" s="32" t="s">
        <v>681</v>
      </c>
      <c r="S277" s="33">
        <f>1730.52</f>
        <v>1730.52</v>
      </c>
      <c r="T277" s="30">
        <f>489232</f>
        <v>489232</v>
      </c>
      <c r="U277" s="30">
        <f>161297</f>
        <v>161297</v>
      </c>
      <c r="V277" s="30">
        <f>846038196</f>
        <v>846038196</v>
      </c>
      <c r="W277" s="30">
        <f>279741045</f>
        <v>279741045</v>
      </c>
      <c r="X277" s="34">
        <f>21</f>
        <v>21</v>
      </c>
    </row>
    <row r="278" spans="1:24">
      <c r="A278" s="25" t="s">
        <v>1167</v>
      </c>
      <c r="B278" s="25" t="s">
        <v>595</v>
      </c>
      <c r="C278" s="25" t="s">
        <v>596</v>
      </c>
      <c r="D278" s="25" t="s">
        <v>597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13845</f>
        <v>13845</v>
      </c>
      <c r="L278" s="32" t="s">
        <v>1110</v>
      </c>
      <c r="M278" s="31">
        <f>14760</f>
        <v>14760</v>
      </c>
      <c r="N278" s="32" t="s">
        <v>1118</v>
      </c>
      <c r="O278" s="31">
        <f>13650</f>
        <v>13650</v>
      </c>
      <c r="P278" s="32" t="s">
        <v>1110</v>
      </c>
      <c r="Q278" s="31">
        <f>13790</f>
        <v>13790</v>
      </c>
      <c r="R278" s="32" t="s">
        <v>681</v>
      </c>
      <c r="S278" s="33">
        <f>13948.81</f>
        <v>13948.81</v>
      </c>
      <c r="T278" s="30">
        <f>761</f>
        <v>761</v>
      </c>
      <c r="U278" s="30" t="str">
        <f>"－"</f>
        <v>－</v>
      </c>
      <c r="V278" s="30">
        <f>10668965</f>
        <v>10668965</v>
      </c>
      <c r="W278" s="30" t="str">
        <f>"－"</f>
        <v>－</v>
      </c>
      <c r="X278" s="34">
        <f>21</f>
        <v>21</v>
      </c>
    </row>
    <row r="279" spans="1:24">
      <c r="A279" s="25" t="s">
        <v>1167</v>
      </c>
      <c r="B279" s="25" t="s">
        <v>598</v>
      </c>
      <c r="C279" s="25" t="s">
        <v>599</v>
      </c>
      <c r="D279" s="25" t="s">
        <v>600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1945</f>
        <v>1945</v>
      </c>
      <c r="L279" s="32" t="s">
        <v>1110</v>
      </c>
      <c r="M279" s="31">
        <f>1977</f>
        <v>1977</v>
      </c>
      <c r="N279" s="32" t="s">
        <v>1113</v>
      </c>
      <c r="O279" s="31">
        <f>1849</f>
        <v>1849</v>
      </c>
      <c r="P279" s="32" t="s">
        <v>777</v>
      </c>
      <c r="Q279" s="31">
        <f>1874</f>
        <v>1874</v>
      </c>
      <c r="R279" s="32" t="s">
        <v>681</v>
      </c>
      <c r="S279" s="33">
        <f>1921.52</f>
        <v>1921.52</v>
      </c>
      <c r="T279" s="30">
        <f>190856</f>
        <v>190856</v>
      </c>
      <c r="U279" s="30">
        <f>155156</f>
        <v>155156</v>
      </c>
      <c r="V279" s="30">
        <f>373352826</f>
        <v>373352826</v>
      </c>
      <c r="W279" s="30">
        <f>304928251</f>
        <v>304928251</v>
      </c>
      <c r="X279" s="34">
        <f>21</f>
        <v>21</v>
      </c>
    </row>
    <row r="280" spans="1:24">
      <c r="A280" s="25" t="s">
        <v>1167</v>
      </c>
      <c r="B280" s="25" t="s">
        <v>601</v>
      </c>
      <c r="C280" s="25" t="s">
        <v>602</v>
      </c>
      <c r="D280" s="25" t="s">
        <v>603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1550.5</f>
        <v>1550.5</v>
      </c>
      <c r="L280" s="32" t="s">
        <v>1116</v>
      </c>
      <c r="M280" s="31">
        <f>1610.5</f>
        <v>1610.5</v>
      </c>
      <c r="N280" s="32" t="s">
        <v>1114</v>
      </c>
      <c r="O280" s="31">
        <f>1506.5</f>
        <v>1506.5</v>
      </c>
      <c r="P280" s="32" t="s">
        <v>1123</v>
      </c>
      <c r="Q280" s="31">
        <f>1543</f>
        <v>1543</v>
      </c>
      <c r="R280" s="32" t="s">
        <v>681</v>
      </c>
      <c r="S280" s="33">
        <f>1568.42</f>
        <v>1568.42</v>
      </c>
      <c r="T280" s="30">
        <f>5160</f>
        <v>5160</v>
      </c>
      <c r="U280" s="30" t="str">
        <f>"－"</f>
        <v>－</v>
      </c>
      <c r="V280" s="30">
        <f>8163670</f>
        <v>8163670</v>
      </c>
      <c r="W280" s="30" t="str">
        <f>"－"</f>
        <v>－</v>
      </c>
      <c r="X280" s="34">
        <f>13</f>
        <v>13</v>
      </c>
    </row>
    <row r="281" spans="1:24">
      <c r="A281" s="25" t="s">
        <v>1167</v>
      </c>
      <c r="B281" s="25" t="s">
        <v>604</v>
      </c>
      <c r="C281" s="25" t="s">
        <v>685</v>
      </c>
      <c r="D281" s="25" t="s">
        <v>686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794</f>
        <v>794</v>
      </c>
      <c r="L281" s="32" t="s">
        <v>1110</v>
      </c>
      <c r="M281" s="31">
        <f>808.6</f>
        <v>808.6</v>
      </c>
      <c r="N281" s="32" t="s">
        <v>874</v>
      </c>
      <c r="O281" s="31">
        <f>792.3</f>
        <v>792.3</v>
      </c>
      <c r="P281" s="32" t="s">
        <v>1116</v>
      </c>
      <c r="Q281" s="31">
        <f>796</f>
        <v>796</v>
      </c>
      <c r="R281" s="32" t="s">
        <v>681</v>
      </c>
      <c r="S281" s="33">
        <f>799.02</f>
        <v>799.02</v>
      </c>
      <c r="T281" s="30">
        <f>679780</f>
        <v>679780</v>
      </c>
      <c r="U281" s="30">
        <f>400130</f>
        <v>400130</v>
      </c>
      <c r="V281" s="30">
        <f>541383044</f>
        <v>541383044</v>
      </c>
      <c r="W281" s="30">
        <f>319404655</f>
        <v>319404655</v>
      </c>
      <c r="X281" s="34">
        <f>21</f>
        <v>21</v>
      </c>
    </row>
    <row r="282" spans="1:24">
      <c r="A282" s="25" t="s">
        <v>1167</v>
      </c>
      <c r="B282" s="25" t="s">
        <v>605</v>
      </c>
      <c r="C282" s="25" t="s">
        <v>606</v>
      </c>
      <c r="D282" s="25" t="s">
        <v>607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10</v>
      </c>
      <c r="K282" s="31">
        <f>1855</f>
        <v>1855</v>
      </c>
      <c r="L282" s="32" t="s">
        <v>1110</v>
      </c>
      <c r="M282" s="31">
        <f>1885.5</f>
        <v>1885.5</v>
      </c>
      <c r="N282" s="32" t="s">
        <v>1115</v>
      </c>
      <c r="O282" s="31">
        <f>1765.5</f>
        <v>1765.5</v>
      </c>
      <c r="P282" s="32" t="s">
        <v>777</v>
      </c>
      <c r="Q282" s="31">
        <f>1791.5</f>
        <v>1791.5</v>
      </c>
      <c r="R282" s="32" t="s">
        <v>681</v>
      </c>
      <c r="S282" s="33">
        <f>1834.33</f>
        <v>1834.33</v>
      </c>
      <c r="T282" s="30">
        <f>2103550</f>
        <v>2103550</v>
      </c>
      <c r="U282" s="30">
        <f>1608400</f>
        <v>1608400</v>
      </c>
      <c r="V282" s="30">
        <f>3868072726</f>
        <v>3868072726</v>
      </c>
      <c r="W282" s="30">
        <f>2954180176</f>
        <v>2954180176</v>
      </c>
      <c r="X282" s="34">
        <f>21</f>
        <v>21</v>
      </c>
    </row>
    <row r="283" spans="1:24">
      <c r="A283" s="25" t="s">
        <v>1167</v>
      </c>
      <c r="B283" s="25" t="s">
        <v>608</v>
      </c>
      <c r="C283" s="25" t="s">
        <v>609</v>
      </c>
      <c r="D283" s="25" t="s">
        <v>610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1850.5</f>
        <v>1850.5</v>
      </c>
      <c r="L283" s="32" t="s">
        <v>1110</v>
      </c>
      <c r="M283" s="31">
        <f>1882</f>
        <v>1882</v>
      </c>
      <c r="N283" s="32" t="s">
        <v>1115</v>
      </c>
      <c r="O283" s="31">
        <f>1762.5</f>
        <v>1762.5</v>
      </c>
      <c r="P283" s="32" t="s">
        <v>777</v>
      </c>
      <c r="Q283" s="31">
        <f>1787.5</f>
        <v>1787.5</v>
      </c>
      <c r="R283" s="32" t="s">
        <v>681</v>
      </c>
      <c r="S283" s="33">
        <f>1833.38</f>
        <v>1833.38</v>
      </c>
      <c r="T283" s="30">
        <f>1379830</f>
        <v>1379830</v>
      </c>
      <c r="U283" s="30">
        <f>533050</f>
        <v>533050</v>
      </c>
      <c r="V283" s="30">
        <f>2494639493</f>
        <v>2494639493</v>
      </c>
      <c r="W283" s="30">
        <f>960594828</f>
        <v>960594828</v>
      </c>
      <c r="X283" s="34">
        <f>21</f>
        <v>21</v>
      </c>
    </row>
    <row r="284" spans="1:24">
      <c r="A284" s="25" t="s">
        <v>1167</v>
      </c>
      <c r="B284" s="25" t="s">
        <v>611</v>
      </c>
      <c r="C284" s="25" t="s">
        <v>612</v>
      </c>
      <c r="D284" s="25" t="s">
        <v>613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2747</f>
        <v>2747</v>
      </c>
      <c r="L284" s="32" t="s">
        <v>1110</v>
      </c>
      <c r="M284" s="31">
        <f>2804.5</f>
        <v>2804.5</v>
      </c>
      <c r="N284" s="32" t="s">
        <v>1118</v>
      </c>
      <c r="O284" s="31">
        <f>2726.5</f>
        <v>2726.5</v>
      </c>
      <c r="P284" s="32" t="s">
        <v>777</v>
      </c>
      <c r="Q284" s="31">
        <f>2803</f>
        <v>2803</v>
      </c>
      <c r="R284" s="32" t="s">
        <v>681</v>
      </c>
      <c r="S284" s="33">
        <f>2769.5</f>
        <v>2769.5</v>
      </c>
      <c r="T284" s="30">
        <f>1311290</f>
        <v>1311290</v>
      </c>
      <c r="U284" s="30">
        <f>635860</f>
        <v>635860</v>
      </c>
      <c r="V284" s="30">
        <f>3624024525</f>
        <v>3624024525</v>
      </c>
      <c r="W284" s="30">
        <f>1758660910</f>
        <v>1758660910</v>
      </c>
      <c r="X284" s="34">
        <f>21</f>
        <v>21</v>
      </c>
    </row>
    <row r="285" spans="1:24">
      <c r="A285" s="25" t="s">
        <v>1167</v>
      </c>
      <c r="B285" s="25" t="s">
        <v>614</v>
      </c>
      <c r="C285" s="25" t="s">
        <v>615</v>
      </c>
      <c r="D285" s="25" t="s">
        <v>616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22845</f>
        <v>22845</v>
      </c>
      <c r="L285" s="32" t="s">
        <v>1110</v>
      </c>
      <c r="M285" s="31">
        <f>24160</f>
        <v>24160</v>
      </c>
      <c r="N285" s="32" t="s">
        <v>778</v>
      </c>
      <c r="O285" s="31">
        <f>22590</f>
        <v>22590</v>
      </c>
      <c r="P285" s="32" t="s">
        <v>1116</v>
      </c>
      <c r="Q285" s="31">
        <f>23645</f>
        <v>23645</v>
      </c>
      <c r="R285" s="32" t="s">
        <v>681</v>
      </c>
      <c r="S285" s="33">
        <f>23600</f>
        <v>23600</v>
      </c>
      <c r="T285" s="30">
        <f>640764</f>
        <v>640764</v>
      </c>
      <c r="U285" s="30">
        <f>74234</f>
        <v>74234</v>
      </c>
      <c r="V285" s="30">
        <f>15116318218</f>
        <v>15116318218</v>
      </c>
      <c r="W285" s="30">
        <f>1755510903</f>
        <v>1755510903</v>
      </c>
      <c r="X285" s="34">
        <f>21</f>
        <v>21</v>
      </c>
    </row>
    <row r="286" spans="1:24">
      <c r="A286" s="25" t="s">
        <v>1167</v>
      </c>
      <c r="B286" s="25" t="s">
        <v>617</v>
      </c>
      <c r="C286" s="25" t="s">
        <v>618</v>
      </c>
      <c r="D286" s="25" t="s">
        <v>619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19585</f>
        <v>19585</v>
      </c>
      <c r="L286" s="32" t="s">
        <v>1110</v>
      </c>
      <c r="M286" s="31">
        <f>20795</f>
        <v>20795</v>
      </c>
      <c r="N286" s="32" t="s">
        <v>1118</v>
      </c>
      <c r="O286" s="31">
        <f>19430</f>
        <v>19430</v>
      </c>
      <c r="P286" s="32" t="s">
        <v>1116</v>
      </c>
      <c r="Q286" s="31">
        <f>20285</f>
        <v>20285</v>
      </c>
      <c r="R286" s="32" t="s">
        <v>681</v>
      </c>
      <c r="S286" s="33">
        <f>20244.29</f>
        <v>20244.29</v>
      </c>
      <c r="T286" s="30">
        <f>462459</f>
        <v>462459</v>
      </c>
      <c r="U286" s="30">
        <f>2738</f>
        <v>2738</v>
      </c>
      <c r="V286" s="30">
        <f>9392919366</f>
        <v>9392919366</v>
      </c>
      <c r="W286" s="30">
        <f>55898856</f>
        <v>55898856</v>
      </c>
      <c r="X286" s="34">
        <f>21</f>
        <v>21</v>
      </c>
    </row>
    <row r="287" spans="1:24">
      <c r="A287" s="25" t="s">
        <v>1167</v>
      </c>
      <c r="B287" s="25" t="s">
        <v>620</v>
      </c>
      <c r="C287" s="25" t="s">
        <v>621</v>
      </c>
      <c r="D287" s="25" t="s">
        <v>622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</v>
      </c>
      <c r="K287" s="31">
        <f>36700</f>
        <v>36700</v>
      </c>
      <c r="L287" s="32" t="s">
        <v>1110</v>
      </c>
      <c r="M287" s="31">
        <f>36900</f>
        <v>36900</v>
      </c>
      <c r="N287" s="32" t="s">
        <v>1118</v>
      </c>
      <c r="O287" s="31">
        <f>36020</f>
        <v>36020</v>
      </c>
      <c r="P287" s="32" t="s">
        <v>876</v>
      </c>
      <c r="Q287" s="31">
        <f>36770</f>
        <v>36770</v>
      </c>
      <c r="R287" s="32" t="s">
        <v>883</v>
      </c>
      <c r="S287" s="33">
        <f>36542.5</f>
        <v>36542.5</v>
      </c>
      <c r="T287" s="30">
        <f>33</f>
        <v>33</v>
      </c>
      <c r="U287" s="30" t="str">
        <f>"－"</f>
        <v>－</v>
      </c>
      <c r="V287" s="30">
        <f>1196590</f>
        <v>1196590</v>
      </c>
      <c r="W287" s="30" t="str">
        <f>"－"</f>
        <v>－</v>
      </c>
      <c r="X287" s="34">
        <f>8</f>
        <v>8</v>
      </c>
    </row>
    <row r="288" spans="1:24">
      <c r="A288" s="25" t="s">
        <v>1167</v>
      </c>
      <c r="B288" s="25" t="s">
        <v>623</v>
      </c>
      <c r="C288" s="25" t="s">
        <v>624</v>
      </c>
      <c r="D288" s="25" t="s">
        <v>625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2394</f>
        <v>2394</v>
      </c>
      <c r="L288" s="32" t="s">
        <v>1110</v>
      </c>
      <c r="M288" s="31">
        <f>2394</f>
        <v>2394</v>
      </c>
      <c r="N288" s="32" t="s">
        <v>1110</v>
      </c>
      <c r="O288" s="31">
        <f>2331</f>
        <v>2331</v>
      </c>
      <c r="P288" s="32" t="s">
        <v>777</v>
      </c>
      <c r="Q288" s="31">
        <f>2335</f>
        <v>2335</v>
      </c>
      <c r="R288" s="32" t="s">
        <v>681</v>
      </c>
      <c r="S288" s="33">
        <f>2365.14</f>
        <v>2365.14</v>
      </c>
      <c r="T288" s="30">
        <f>359843</f>
        <v>359843</v>
      </c>
      <c r="U288" s="30">
        <f>61928</f>
        <v>61928</v>
      </c>
      <c r="V288" s="30">
        <f>853123759</f>
        <v>853123759</v>
      </c>
      <c r="W288" s="30">
        <f>146583956</f>
        <v>146583956</v>
      </c>
      <c r="X288" s="34">
        <f>21</f>
        <v>21</v>
      </c>
    </row>
    <row r="289" spans="1:24">
      <c r="A289" s="25" t="s">
        <v>1167</v>
      </c>
      <c r="B289" s="25" t="s">
        <v>626</v>
      </c>
      <c r="C289" s="25" t="s">
        <v>627</v>
      </c>
      <c r="D289" s="25" t="s">
        <v>628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2925.5</f>
        <v>2925.5</v>
      </c>
      <c r="L289" s="32" t="s">
        <v>1110</v>
      </c>
      <c r="M289" s="31">
        <f>3092</f>
        <v>3092</v>
      </c>
      <c r="N289" s="32" t="s">
        <v>1118</v>
      </c>
      <c r="O289" s="31">
        <f>2894</f>
        <v>2894</v>
      </c>
      <c r="P289" s="32" t="s">
        <v>1115</v>
      </c>
      <c r="Q289" s="31">
        <f>2939.5</f>
        <v>2939.5</v>
      </c>
      <c r="R289" s="32" t="s">
        <v>681</v>
      </c>
      <c r="S289" s="33">
        <f>3022.55</f>
        <v>3022.55</v>
      </c>
      <c r="T289" s="30">
        <f>3244960</f>
        <v>3244960</v>
      </c>
      <c r="U289" s="30">
        <f>3048530</f>
        <v>3048530</v>
      </c>
      <c r="V289" s="30">
        <f>9960138096</f>
        <v>9960138096</v>
      </c>
      <c r="W289" s="30">
        <f>9372556636</f>
        <v>9372556636</v>
      </c>
      <c r="X289" s="34">
        <f>21</f>
        <v>21</v>
      </c>
    </row>
    <row r="290" spans="1:24">
      <c r="A290" s="25" t="s">
        <v>1167</v>
      </c>
      <c r="B290" s="25" t="s">
        <v>629</v>
      </c>
      <c r="C290" s="25" t="s">
        <v>630</v>
      </c>
      <c r="D290" s="25" t="s">
        <v>631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10</v>
      </c>
      <c r="K290" s="31">
        <f>293</f>
        <v>293</v>
      </c>
      <c r="L290" s="32" t="s">
        <v>1110</v>
      </c>
      <c r="M290" s="31">
        <f>310.8</f>
        <v>310.8</v>
      </c>
      <c r="N290" s="32" t="s">
        <v>778</v>
      </c>
      <c r="O290" s="31">
        <f>292.9</f>
        <v>292.89999999999998</v>
      </c>
      <c r="P290" s="32" t="s">
        <v>1110</v>
      </c>
      <c r="Q290" s="31">
        <f>303.4</f>
        <v>303.39999999999998</v>
      </c>
      <c r="R290" s="32" t="s">
        <v>681</v>
      </c>
      <c r="S290" s="33">
        <f>304.9</f>
        <v>304.89999999999998</v>
      </c>
      <c r="T290" s="30">
        <f>26714900</f>
        <v>26714900</v>
      </c>
      <c r="U290" s="30">
        <f>6943080</f>
        <v>6943080</v>
      </c>
      <c r="V290" s="30">
        <f>8130893872</f>
        <v>8130893872</v>
      </c>
      <c r="W290" s="30">
        <f>2124735729</f>
        <v>2124735729</v>
      </c>
      <c r="X290" s="34">
        <f>21</f>
        <v>21</v>
      </c>
    </row>
    <row r="291" spans="1:24">
      <c r="A291" s="25" t="s">
        <v>1167</v>
      </c>
      <c r="B291" s="25" t="s">
        <v>632</v>
      </c>
      <c r="C291" s="25" t="s">
        <v>633</v>
      </c>
      <c r="D291" s="25" t="s">
        <v>634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2800</f>
        <v>2800</v>
      </c>
      <c r="L291" s="32" t="s">
        <v>1110</v>
      </c>
      <c r="M291" s="31">
        <f>2876</f>
        <v>2876</v>
      </c>
      <c r="N291" s="32" t="s">
        <v>1112</v>
      </c>
      <c r="O291" s="31">
        <f>2779</f>
        <v>2779</v>
      </c>
      <c r="P291" s="32" t="s">
        <v>777</v>
      </c>
      <c r="Q291" s="31">
        <f>2837</f>
        <v>2837</v>
      </c>
      <c r="R291" s="32" t="s">
        <v>681</v>
      </c>
      <c r="S291" s="33">
        <f>2831.48</f>
        <v>2831.48</v>
      </c>
      <c r="T291" s="30">
        <f>887826</f>
        <v>887826</v>
      </c>
      <c r="U291" s="30">
        <f>411230</f>
        <v>411230</v>
      </c>
      <c r="V291" s="30">
        <f>2519674456</f>
        <v>2519674456</v>
      </c>
      <c r="W291" s="30">
        <f>1171769659</f>
        <v>1171769659</v>
      </c>
      <c r="X291" s="34">
        <f>21</f>
        <v>21</v>
      </c>
    </row>
    <row r="292" spans="1:24">
      <c r="A292" s="25" t="s">
        <v>1167</v>
      </c>
      <c r="B292" s="25" t="s">
        <v>635</v>
      </c>
      <c r="C292" s="25" t="s">
        <v>636</v>
      </c>
      <c r="D292" s="25" t="s">
        <v>637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916</f>
        <v>916</v>
      </c>
      <c r="L292" s="32" t="s">
        <v>1110</v>
      </c>
      <c r="M292" s="31">
        <f>927</f>
        <v>927</v>
      </c>
      <c r="N292" s="32" t="s">
        <v>1115</v>
      </c>
      <c r="O292" s="31">
        <f>863</f>
        <v>863</v>
      </c>
      <c r="P292" s="32" t="s">
        <v>777</v>
      </c>
      <c r="Q292" s="31">
        <f>884</f>
        <v>884</v>
      </c>
      <c r="R292" s="32" t="s">
        <v>681</v>
      </c>
      <c r="S292" s="33">
        <f>901.38</f>
        <v>901.38</v>
      </c>
      <c r="T292" s="30">
        <f>471274</f>
        <v>471274</v>
      </c>
      <c r="U292" s="30">
        <f>242810</f>
        <v>242810</v>
      </c>
      <c r="V292" s="30">
        <f>423419960</f>
        <v>423419960</v>
      </c>
      <c r="W292" s="30">
        <f>218080338</f>
        <v>218080338</v>
      </c>
      <c r="X292" s="34">
        <f>21</f>
        <v>21</v>
      </c>
    </row>
    <row r="293" spans="1:24">
      <c r="A293" s="25" t="s">
        <v>1167</v>
      </c>
      <c r="B293" s="25" t="s">
        <v>638</v>
      </c>
      <c r="C293" s="25" t="s">
        <v>639</v>
      </c>
      <c r="D293" s="25" t="s">
        <v>640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1017</f>
        <v>1017</v>
      </c>
      <c r="L293" s="32" t="s">
        <v>1110</v>
      </c>
      <c r="M293" s="31">
        <f>1032.5</f>
        <v>1032.5</v>
      </c>
      <c r="N293" s="32" t="s">
        <v>1113</v>
      </c>
      <c r="O293" s="31">
        <f>968</f>
        <v>968</v>
      </c>
      <c r="P293" s="32" t="s">
        <v>777</v>
      </c>
      <c r="Q293" s="31">
        <f>979.1</f>
        <v>979.1</v>
      </c>
      <c r="R293" s="32" t="s">
        <v>681</v>
      </c>
      <c r="S293" s="33">
        <f>1004.74</f>
        <v>1004.74</v>
      </c>
      <c r="T293" s="30">
        <f>5869870</f>
        <v>5869870</v>
      </c>
      <c r="U293" s="30">
        <f>3285240</f>
        <v>3285240</v>
      </c>
      <c r="V293" s="30">
        <f>5958371145</f>
        <v>5958371145</v>
      </c>
      <c r="W293" s="30">
        <f>3339743726</f>
        <v>3339743726</v>
      </c>
      <c r="X293" s="34">
        <f>21</f>
        <v>21</v>
      </c>
    </row>
    <row r="294" spans="1:24">
      <c r="A294" s="25" t="s">
        <v>1167</v>
      </c>
      <c r="B294" s="25" t="s">
        <v>641</v>
      </c>
      <c r="C294" s="25" t="s">
        <v>642</v>
      </c>
      <c r="D294" s="25" t="s">
        <v>643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362.9</f>
        <v>362.9</v>
      </c>
      <c r="L294" s="32" t="s">
        <v>1116</v>
      </c>
      <c r="M294" s="31">
        <f>370</f>
        <v>370</v>
      </c>
      <c r="N294" s="32" t="s">
        <v>1112</v>
      </c>
      <c r="O294" s="31">
        <f>352.2</f>
        <v>352.2</v>
      </c>
      <c r="P294" s="32" t="s">
        <v>1118</v>
      </c>
      <c r="Q294" s="31">
        <f>366.1</f>
        <v>366.1</v>
      </c>
      <c r="R294" s="32" t="s">
        <v>681</v>
      </c>
      <c r="S294" s="33">
        <f>364.03</f>
        <v>364.03</v>
      </c>
      <c r="T294" s="30">
        <f>9290</f>
        <v>9290</v>
      </c>
      <c r="U294" s="30" t="str">
        <f>"－"</f>
        <v>－</v>
      </c>
      <c r="V294" s="30">
        <f>3378099</f>
        <v>3378099</v>
      </c>
      <c r="W294" s="30" t="str">
        <f>"－"</f>
        <v>－</v>
      </c>
      <c r="X294" s="34">
        <f>15</f>
        <v>15</v>
      </c>
    </row>
    <row r="295" spans="1:24">
      <c r="A295" s="25" t="s">
        <v>1167</v>
      </c>
      <c r="B295" s="25" t="s">
        <v>644</v>
      </c>
      <c r="C295" s="25" t="s">
        <v>645</v>
      </c>
      <c r="D295" s="25" t="s">
        <v>646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4719</f>
        <v>4719</v>
      </c>
      <c r="L295" s="32" t="s">
        <v>1110</v>
      </c>
      <c r="M295" s="31">
        <f>5145</f>
        <v>5145</v>
      </c>
      <c r="N295" s="32" t="s">
        <v>778</v>
      </c>
      <c r="O295" s="31">
        <f>4662</f>
        <v>4662</v>
      </c>
      <c r="P295" s="32" t="s">
        <v>1116</v>
      </c>
      <c r="Q295" s="31">
        <f>4988</f>
        <v>4988</v>
      </c>
      <c r="R295" s="32" t="s">
        <v>681</v>
      </c>
      <c r="S295" s="33">
        <f>4943.33</f>
        <v>4943.33</v>
      </c>
      <c r="T295" s="30">
        <f>929080</f>
        <v>929080</v>
      </c>
      <c r="U295" s="30">
        <f>41010</f>
        <v>41010</v>
      </c>
      <c r="V295" s="30">
        <f>4595674711</f>
        <v>4595674711</v>
      </c>
      <c r="W295" s="30">
        <f>203341541</f>
        <v>203341541</v>
      </c>
      <c r="X295" s="34">
        <f>21</f>
        <v>21</v>
      </c>
    </row>
    <row r="296" spans="1:24">
      <c r="A296" s="25" t="s">
        <v>1167</v>
      </c>
      <c r="B296" s="25" t="s">
        <v>647</v>
      </c>
      <c r="C296" s="25" t="s">
        <v>648</v>
      </c>
      <c r="D296" s="25" t="s">
        <v>649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2783</f>
        <v>2783</v>
      </c>
      <c r="L296" s="32" t="s">
        <v>1110</v>
      </c>
      <c r="M296" s="31">
        <f>3012</f>
        <v>3012</v>
      </c>
      <c r="N296" s="32" t="s">
        <v>778</v>
      </c>
      <c r="O296" s="31">
        <f>2780</f>
        <v>2780</v>
      </c>
      <c r="P296" s="32" t="s">
        <v>1110</v>
      </c>
      <c r="Q296" s="31">
        <f>2943.5</f>
        <v>2943.5</v>
      </c>
      <c r="R296" s="32" t="s">
        <v>681</v>
      </c>
      <c r="S296" s="33">
        <f>2932.14</f>
        <v>2932.14</v>
      </c>
      <c r="T296" s="30">
        <f>2576430</f>
        <v>2576430</v>
      </c>
      <c r="U296" s="30">
        <f>1836620</f>
        <v>1836620</v>
      </c>
      <c r="V296" s="30">
        <f>7605069507</f>
        <v>7605069507</v>
      </c>
      <c r="W296" s="30">
        <f>5443459837</f>
        <v>5443459837</v>
      </c>
      <c r="X296" s="34">
        <f>21</f>
        <v>21</v>
      </c>
    </row>
    <row r="297" spans="1:24">
      <c r="A297" s="25" t="s">
        <v>1167</v>
      </c>
      <c r="B297" s="25" t="s">
        <v>650</v>
      </c>
      <c r="C297" s="25" t="s">
        <v>651</v>
      </c>
      <c r="D297" s="25" t="s">
        <v>652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10</v>
      </c>
      <c r="K297" s="31">
        <f>353.2</f>
        <v>353.2</v>
      </c>
      <c r="L297" s="32" t="s">
        <v>1110</v>
      </c>
      <c r="M297" s="31">
        <f>354.5</f>
        <v>354.5</v>
      </c>
      <c r="N297" s="32" t="s">
        <v>777</v>
      </c>
      <c r="O297" s="31">
        <f>337.1</f>
        <v>337.1</v>
      </c>
      <c r="P297" s="32" t="s">
        <v>1116</v>
      </c>
      <c r="Q297" s="31">
        <f>352.9</f>
        <v>352.9</v>
      </c>
      <c r="R297" s="32" t="s">
        <v>681</v>
      </c>
      <c r="S297" s="33">
        <f>351.19</f>
        <v>351.19</v>
      </c>
      <c r="T297" s="30">
        <f>50665920</f>
        <v>50665920</v>
      </c>
      <c r="U297" s="30">
        <f>40712850</f>
        <v>40712850</v>
      </c>
      <c r="V297" s="30">
        <f>17693192005</f>
        <v>17693192005</v>
      </c>
      <c r="W297" s="30">
        <f>14212606283</f>
        <v>14212606283</v>
      </c>
      <c r="X297" s="34">
        <f>21</f>
        <v>21</v>
      </c>
    </row>
    <row r="298" spans="1:24">
      <c r="A298" s="25" t="s">
        <v>1167</v>
      </c>
      <c r="B298" s="25" t="s">
        <v>653</v>
      </c>
      <c r="C298" s="25" t="s">
        <v>654</v>
      </c>
      <c r="D298" s="25" t="s">
        <v>655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1179</f>
        <v>1179</v>
      </c>
      <c r="L298" s="32" t="s">
        <v>1110</v>
      </c>
      <c r="M298" s="31">
        <f>1239</f>
        <v>1239</v>
      </c>
      <c r="N298" s="32" t="s">
        <v>760</v>
      </c>
      <c r="O298" s="31">
        <f>1178</f>
        <v>1178</v>
      </c>
      <c r="P298" s="32" t="s">
        <v>1110</v>
      </c>
      <c r="Q298" s="31">
        <f>1199</f>
        <v>1199</v>
      </c>
      <c r="R298" s="32" t="s">
        <v>681</v>
      </c>
      <c r="S298" s="33">
        <f>1211.62</f>
        <v>1211.6199999999999</v>
      </c>
      <c r="T298" s="30">
        <f>19706209</f>
        <v>19706209</v>
      </c>
      <c r="U298" s="30">
        <f>1177570</f>
        <v>1177570</v>
      </c>
      <c r="V298" s="30">
        <f>23858551229</f>
        <v>23858551229</v>
      </c>
      <c r="W298" s="30">
        <f>1428344971</f>
        <v>1428344971</v>
      </c>
      <c r="X298" s="34">
        <f>21</f>
        <v>21</v>
      </c>
    </row>
    <row r="299" spans="1:24">
      <c r="A299" s="25" t="s">
        <v>1167</v>
      </c>
      <c r="B299" s="25" t="s">
        <v>656</v>
      </c>
      <c r="C299" s="25" t="s">
        <v>657</v>
      </c>
      <c r="D299" s="25" t="s">
        <v>658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1745</f>
        <v>1745</v>
      </c>
      <c r="L299" s="32" t="s">
        <v>1110</v>
      </c>
      <c r="M299" s="31">
        <f>1780</f>
        <v>1780</v>
      </c>
      <c r="N299" s="32" t="s">
        <v>760</v>
      </c>
      <c r="O299" s="31">
        <f>1729</f>
        <v>1729</v>
      </c>
      <c r="P299" s="32" t="s">
        <v>1110</v>
      </c>
      <c r="Q299" s="31">
        <f>1752</f>
        <v>1752</v>
      </c>
      <c r="R299" s="32" t="s">
        <v>681</v>
      </c>
      <c r="S299" s="33">
        <f>1759.33</f>
        <v>1759.33</v>
      </c>
      <c r="T299" s="30">
        <f>43867</f>
        <v>43867</v>
      </c>
      <c r="U299" s="30" t="str">
        <f>"－"</f>
        <v>－</v>
      </c>
      <c r="V299" s="30">
        <f>77283362</f>
        <v>77283362</v>
      </c>
      <c r="W299" s="30" t="str">
        <f>"－"</f>
        <v>－</v>
      </c>
      <c r="X299" s="34">
        <f>21</f>
        <v>21</v>
      </c>
    </row>
    <row r="300" spans="1:24">
      <c r="A300" s="25" t="s">
        <v>1167</v>
      </c>
      <c r="B300" s="25" t="s">
        <v>659</v>
      </c>
      <c r="C300" s="25" t="s">
        <v>660</v>
      </c>
      <c r="D300" s="25" t="s">
        <v>661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2065</f>
        <v>2065</v>
      </c>
      <c r="L300" s="32" t="s">
        <v>1110</v>
      </c>
      <c r="M300" s="31">
        <f>2112</f>
        <v>2112</v>
      </c>
      <c r="N300" s="32" t="s">
        <v>683</v>
      </c>
      <c r="O300" s="31">
        <f>2017</f>
        <v>2017</v>
      </c>
      <c r="P300" s="32" t="s">
        <v>1118</v>
      </c>
      <c r="Q300" s="31">
        <f>2051</f>
        <v>2051</v>
      </c>
      <c r="R300" s="32" t="s">
        <v>681</v>
      </c>
      <c r="S300" s="33">
        <f>2060.05</f>
        <v>2060.0500000000002</v>
      </c>
      <c r="T300" s="30">
        <f>57748</f>
        <v>57748</v>
      </c>
      <c r="U300" s="30">
        <f>48002</f>
        <v>48002</v>
      </c>
      <c r="V300" s="30">
        <f>118837940</f>
        <v>118837940</v>
      </c>
      <c r="W300" s="30">
        <f>98744936</f>
        <v>98744936</v>
      </c>
      <c r="X300" s="34">
        <f>21</f>
        <v>21</v>
      </c>
    </row>
    <row r="301" spans="1:24">
      <c r="A301" s="25" t="s">
        <v>1167</v>
      </c>
      <c r="B301" s="25" t="s">
        <v>662</v>
      </c>
      <c r="C301" s="25" t="s">
        <v>663</v>
      </c>
      <c r="D301" s="25" t="s">
        <v>948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</v>
      </c>
      <c r="K301" s="31">
        <f>3820</f>
        <v>3820</v>
      </c>
      <c r="L301" s="32" t="s">
        <v>1110</v>
      </c>
      <c r="M301" s="31">
        <f>3955</f>
        <v>3955</v>
      </c>
      <c r="N301" s="32" t="s">
        <v>1118</v>
      </c>
      <c r="O301" s="31">
        <f>3775</f>
        <v>3775</v>
      </c>
      <c r="P301" s="32" t="s">
        <v>777</v>
      </c>
      <c r="Q301" s="31">
        <f>3865</f>
        <v>3865</v>
      </c>
      <c r="R301" s="32" t="s">
        <v>681</v>
      </c>
      <c r="S301" s="33">
        <f>3866.67</f>
        <v>3866.67</v>
      </c>
      <c r="T301" s="30">
        <f>880491</f>
        <v>880491</v>
      </c>
      <c r="U301" s="30">
        <f>699535</f>
        <v>699535</v>
      </c>
      <c r="V301" s="30">
        <f>3367371646</f>
        <v>3367371646</v>
      </c>
      <c r="W301" s="30">
        <f>2671860646</f>
        <v>2671860646</v>
      </c>
      <c r="X301" s="34">
        <f>21</f>
        <v>21</v>
      </c>
    </row>
    <row r="302" spans="1:24">
      <c r="A302" s="25" t="s">
        <v>1167</v>
      </c>
      <c r="B302" s="25" t="s">
        <v>664</v>
      </c>
      <c r="C302" s="25" t="s">
        <v>665</v>
      </c>
      <c r="D302" s="25" t="s">
        <v>949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</v>
      </c>
      <c r="K302" s="31">
        <f>2729</f>
        <v>2729</v>
      </c>
      <c r="L302" s="32" t="s">
        <v>1110</v>
      </c>
      <c r="M302" s="31">
        <f>2790</f>
        <v>2790</v>
      </c>
      <c r="N302" s="32" t="s">
        <v>1118</v>
      </c>
      <c r="O302" s="31">
        <f>2703</f>
        <v>2703</v>
      </c>
      <c r="P302" s="32" t="s">
        <v>777</v>
      </c>
      <c r="Q302" s="31">
        <f>2779</f>
        <v>2779</v>
      </c>
      <c r="R302" s="32" t="s">
        <v>681</v>
      </c>
      <c r="S302" s="33">
        <f>2746.38</f>
        <v>2746.38</v>
      </c>
      <c r="T302" s="30">
        <f>165127</f>
        <v>165127</v>
      </c>
      <c r="U302" s="30">
        <f>36564</f>
        <v>36564</v>
      </c>
      <c r="V302" s="30">
        <f>452691076</f>
        <v>452691076</v>
      </c>
      <c r="W302" s="30">
        <f>100276770</f>
        <v>100276770</v>
      </c>
      <c r="X302" s="34">
        <f>21</f>
        <v>21</v>
      </c>
    </row>
    <row r="303" spans="1:24">
      <c r="A303" s="25" t="s">
        <v>1167</v>
      </c>
      <c r="B303" s="25" t="s">
        <v>666</v>
      </c>
      <c r="C303" s="25" t="s">
        <v>667</v>
      </c>
      <c r="D303" s="25" t="s">
        <v>668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2116</f>
        <v>2116</v>
      </c>
      <c r="L303" s="32" t="s">
        <v>1110</v>
      </c>
      <c r="M303" s="31">
        <f>2188</f>
        <v>2188</v>
      </c>
      <c r="N303" s="32" t="s">
        <v>1118</v>
      </c>
      <c r="O303" s="31">
        <f>2092</f>
        <v>2092</v>
      </c>
      <c r="P303" s="32" t="s">
        <v>777</v>
      </c>
      <c r="Q303" s="31">
        <f>2151</f>
        <v>2151</v>
      </c>
      <c r="R303" s="32" t="s">
        <v>681</v>
      </c>
      <c r="S303" s="33">
        <f>2136.48</f>
        <v>2136.48</v>
      </c>
      <c r="T303" s="30">
        <f>53420</f>
        <v>53420</v>
      </c>
      <c r="U303" s="30">
        <f>100</f>
        <v>100</v>
      </c>
      <c r="V303" s="30">
        <f>113846541</f>
        <v>113846541</v>
      </c>
      <c r="W303" s="30">
        <f>214590</f>
        <v>214590</v>
      </c>
      <c r="X303" s="34">
        <f>21</f>
        <v>21</v>
      </c>
    </row>
    <row r="304" spans="1:24">
      <c r="A304" s="25" t="s">
        <v>1167</v>
      </c>
      <c r="B304" s="25" t="s">
        <v>669</v>
      </c>
      <c r="C304" s="25" t="s">
        <v>670</v>
      </c>
      <c r="D304" s="25" t="s">
        <v>671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1237</f>
        <v>1237</v>
      </c>
      <c r="L304" s="32" t="s">
        <v>1110</v>
      </c>
      <c r="M304" s="31">
        <f>1270</f>
        <v>1270</v>
      </c>
      <c r="N304" s="32" t="s">
        <v>876</v>
      </c>
      <c r="O304" s="31">
        <f>1164</f>
        <v>1164</v>
      </c>
      <c r="P304" s="32" t="s">
        <v>777</v>
      </c>
      <c r="Q304" s="31">
        <f>1199</f>
        <v>1199</v>
      </c>
      <c r="R304" s="32" t="s">
        <v>681</v>
      </c>
      <c r="S304" s="33">
        <f>1225.24</f>
        <v>1225.24</v>
      </c>
      <c r="T304" s="30">
        <f>36054</f>
        <v>36054</v>
      </c>
      <c r="U304" s="30">
        <f>1000</f>
        <v>1000</v>
      </c>
      <c r="V304" s="30">
        <f>44396401</f>
        <v>44396401</v>
      </c>
      <c r="W304" s="30">
        <f>1231000</f>
        <v>1231000</v>
      </c>
      <c r="X304" s="34">
        <f>21</f>
        <v>21</v>
      </c>
    </row>
    <row r="305" spans="1:24">
      <c r="A305" s="25" t="s">
        <v>1167</v>
      </c>
      <c r="B305" s="25" t="s">
        <v>687</v>
      </c>
      <c r="C305" s="25" t="s">
        <v>688</v>
      </c>
      <c r="D305" s="25" t="s">
        <v>689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1675</f>
        <v>1675</v>
      </c>
      <c r="L305" s="32" t="s">
        <v>1110</v>
      </c>
      <c r="M305" s="31">
        <f>1736</f>
        <v>1736</v>
      </c>
      <c r="N305" s="32" t="s">
        <v>759</v>
      </c>
      <c r="O305" s="31">
        <f>1570</f>
        <v>1570</v>
      </c>
      <c r="P305" s="32" t="s">
        <v>1111</v>
      </c>
      <c r="Q305" s="31">
        <f>1635</f>
        <v>1635</v>
      </c>
      <c r="R305" s="32" t="s">
        <v>681</v>
      </c>
      <c r="S305" s="33">
        <f>1648.43</f>
        <v>1648.43</v>
      </c>
      <c r="T305" s="30">
        <f>45191</f>
        <v>45191</v>
      </c>
      <c r="U305" s="30" t="str">
        <f>"－"</f>
        <v>－</v>
      </c>
      <c r="V305" s="30">
        <f>74209686</f>
        <v>74209686</v>
      </c>
      <c r="W305" s="30" t="str">
        <f>"－"</f>
        <v>－</v>
      </c>
      <c r="X305" s="34">
        <f>21</f>
        <v>21</v>
      </c>
    </row>
    <row r="306" spans="1:24">
      <c r="A306" s="25" t="s">
        <v>1167</v>
      </c>
      <c r="B306" s="25" t="s">
        <v>690</v>
      </c>
      <c r="C306" s="25" t="s">
        <v>691</v>
      </c>
      <c r="D306" s="25" t="s">
        <v>692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2521</f>
        <v>2521</v>
      </c>
      <c r="L306" s="32" t="s">
        <v>1110</v>
      </c>
      <c r="M306" s="31">
        <f>2750</f>
        <v>2750</v>
      </c>
      <c r="N306" s="32" t="s">
        <v>1118</v>
      </c>
      <c r="O306" s="31">
        <f>2484</f>
        <v>2484</v>
      </c>
      <c r="P306" s="32" t="s">
        <v>1116</v>
      </c>
      <c r="Q306" s="31">
        <f>2553</f>
        <v>2553</v>
      </c>
      <c r="R306" s="32" t="s">
        <v>681</v>
      </c>
      <c r="S306" s="33">
        <f>2581.95</f>
        <v>2581.9499999999998</v>
      </c>
      <c r="T306" s="30">
        <f>10229</f>
        <v>10229</v>
      </c>
      <c r="U306" s="30" t="str">
        <f>"－"</f>
        <v>－</v>
      </c>
      <c r="V306" s="30">
        <f>26546476</f>
        <v>26546476</v>
      </c>
      <c r="W306" s="30" t="str">
        <f>"－"</f>
        <v>－</v>
      </c>
      <c r="X306" s="34">
        <f>21</f>
        <v>21</v>
      </c>
    </row>
    <row r="307" spans="1:24">
      <c r="A307" s="25" t="s">
        <v>1167</v>
      </c>
      <c r="B307" s="25" t="s">
        <v>693</v>
      </c>
      <c r="C307" s="25" t="s">
        <v>694</v>
      </c>
      <c r="D307" s="25" t="s">
        <v>695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11630</f>
        <v>11630</v>
      </c>
      <c r="L307" s="32" t="s">
        <v>1110</v>
      </c>
      <c r="M307" s="31">
        <f>12365</f>
        <v>12365</v>
      </c>
      <c r="N307" s="32" t="s">
        <v>1114</v>
      </c>
      <c r="O307" s="31">
        <f>11620</f>
        <v>11620</v>
      </c>
      <c r="P307" s="32" t="s">
        <v>1110</v>
      </c>
      <c r="Q307" s="31">
        <f>12050</f>
        <v>12050</v>
      </c>
      <c r="R307" s="32" t="s">
        <v>681</v>
      </c>
      <c r="S307" s="33">
        <f>12094.29</f>
        <v>12094.29</v>
      </c>
      <c r="T307" s="30">
        <f>382398</f>
        <v>382398</v>
      </c>
      <c r="U307" s="30">
        <f>252944</f>
        <v>252944</v>
      </c>
      <c r="V307" s="30">
        <f>4589710715</f>
        <v>4589710715</v>
      </c>
      <c r="W307" s="30">
        <f>3035858170</f>
        <v>3035858170</v>
      </c>
      <c r="X307" s="34">
        <f>21</f>
        <v>21</v>
      </c>
    </row>
    <row r="308" spans="1:24">
      <c r="A308" s="25" t="s">
        <v>1167</v>
      </c>
      <c r="B308" s="25" t="s">
        <v>696</v>
      </c>
      <c r="C308" s="25" t="s">
        <v>697</v>
      </c>
      <c r="D308" s="25" t="s">
        <v>698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19710</f>
        <v>19710</v>
      </c>
      <c r="L308" s="32" t="s">
        <v>1110</v>
      </c>
      <c r="M308" s="31">
        <f>21330</f>
        <v>21330</v>
      </c>
      <c r="N308" s="32" t="s">
        <v>883</v>
      </c>
      <c r="O308" s="31">
        <f>19485</f>
        <v>19485</v>
      </c>
      <c r="P308" s="32" t="s">
        <v>1116</v>
      </c>
      <c r="Q308" s="31">
        <f>20830</f>
        <v>20830</v>
      </c>
      <c r="R308" s="32" t="s">
        <v>681</v>
      </c>
      <c r="S308" s="33">
        <f>20638.1</f>
        <v>20638.099999999999</v>
      </c>
      <c r="T308" s="30">
        <f>316569</f>
        <v>316569</v>
      </c>
      <c r="U308" s="30">
        <f>11024</f>
        <v>11024</v>
      </c>
      <c r="V308" s="30">
        <f>6528158266</f>
        <v>6528158266</v>
      </c>
      <c r="W308" s="30">
        <f>231277821</f>
        <v>231277821</v>
      </c>
      <c r="X308" s="34">
        <f>21</f>
        <v>21</v>
      </c>
    </row>
    <row r="309" spans="1:24">
      <c r="A309" s="25" t="s">
        <v>1167</v>
      </c>
      <c r="B309" s="25" t="s">
        <v>699</v>
      </c>
      <c r="C309" s="25" t="s">
        <v>700</v>
      </c>
      <c r="D309" s="25" t="s">
        <v>701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11650</f>
        <v>11650</v>
      </c>
      <c r="L309" s="32" t="s">
        <v>1110</v>
      </c>
      <c r="M309" s="31">
        <f>12630</f>
        <v>12630</v>
      </c>
      <c r="N309" s="32" t="s">
        <v>778</v>
      </c>
      <c r="O309" s="31">
        <f>11640</f>
        <v>11640</v>
      </c>
      <c r="P309" s="32" t="s">
        <v>1110</v>
      </c>
      <c r="Q309" s="31">
        <f>12340</f>
        <v>12340</v>
      </c>
      <c r="R309" s="32" t="s">
        <v>681</v>
      </c>
      <c r="S309" s="33">
        <f>12293.1</f>
        <v>12293.1</v>
      </c>
      <c r="T309" s="30">
        <f>264454</f>
        <v>264454</v>
      </c>
      <c r="U309" s="30">
        <f>99021</f>
        <v>99021</v>
      </c>
      <c r="V309" s="30">
        <f>3251390150</f>
        <v>3251390150</v>
      </c>
      <c r="W309" s="30">
        <f>1221249270</f>
        <v>1221249270</v>
      </c>
      <c r="X309" s="34">
        <f>21</f>
        <v>21</v>
      </c>
    </row>
    <row r="310" spans="1:24">
      <c r="A310" s="25" t="s">
        <v>1167</v>
      </c>
      <c r="B310" s="25" t="s">
        <v>702</v>
      </c>
      <c r="C310" s="25" t="s">
        <v>703</v>
      </c>
      <c r="D310" s="25" t="s">
        <v>704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10</v>
      </c>
      <c r="K310" s="31">
        <f>365.9</f>
        <v>365.9</v>
      </c>
      <c r="L310" s="32" t="s">
        <v>1110</v>
      </c>
      <c r="M310" s="31">
        <f>386.7</f>
        <v>386.7</v>
      </c>
      <c r="N310" s="32" t="s">
        <v>778</v>
      </c>
      <c r="O310" s="31">
        <f>361.9</f>
        <v>361.9</v>
      </c>
      <c r="P310" s="32" t="s">
        <v>1116</v>
      </c>
      <c r="Q310" s="31">
        <f>378.5</f>
        <v>378.5</v>
      </c>
      <c r="R310" s="32" t="s">
        <v>681</v>
      </c>
      <c r="S310" s="33">
        <f>377.82</f>
        <v>377.82</v>
      </c>
      <c r="T310" s="30">
        <f>8761990</f>
        <v>8761990</v>
      </c>
      <c r="U310" s="30">
        <f>805300</f>
        <v>805300</v>
      </c>
      <c r="V310" s="30">
        <f>3302101198</f>
        <v>3302101198</v>
      </c>
      <c r="W310" s="30">
        <f>301587040</f>
        <v>301587040</v>
      </c>
      <c r="X310" s="34">
        <f>21</f>
        <v>21</v>
      </c>
    </row>
    <row r="311" spans="1:24">
      <c r="A311" s="25" t="s">
        <v>1167</v>
      </c>
      <c r="B311" s="25" t="s">
        <v>705</v>
      </c>
      <c r="C311" s="25" t="s">
        <v>706</v>
      </c>
      <c r="D311" s="25" t="s">
        <v>707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2276.5</f>
        <v>2276.5</v>
      </c>
      <c r="L311" s="32" t="s">
        <v>1110</v>
      </c>
      <c r="M311" s="31">
        <f>2419</f>
        <v>2419</v>
      </c>
      <c r="N311" s="32" t="s">
        <v>778</v>
      </c>
      <c r="O311" s="31">
        <f>2274.5</f>
        <v>2274.5</v>
      </c>
      <c r="P311" s="32" t="s">
        <v>1110</v>
      </c>
      <c r="Q311" s="31">
        <f>2355.5</f>
        <v>2355.5</v>
      </c>
      <c r="R311" s="32" t="s">
        <v>681</v>
      </c>
      <c r="S311" s="33">
        <f>2367.33</f>
        <v>2367.33</v>
      </c>
      <c r="T311" s="30">
        <f>772290</f>
        <v>772290</v>
      </c>
      <c r="U311" s="30">
        <f>129860</f>
        <v>129860</v>
      </c>
      <c r="V311" s="30">
        <f>1824998158</f>
        <v>1824998158</v>
      </c>
      <c r="W311" s="30">
        <f>305322543</f>
        <v>305322543</v>
      </c>
      <c r="X311" s="34">
        <f>21</f>
        <v>21</v>
      </c>
    </row>
    <row r="312" spans="1:24">
      <c r="A312" s="25" t="s">
        <v>1167</v>
      </c>
      <c r="B312" s="25" t="s">
        <v>708</v>
      </c>
      <c r="C312" s="25" t="s">
        <v>709</v>
      </c>
      <c r="D312" s="25" t="s">
        <v>710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10</v>
      </c>
      <c r="K312" s="31">
        <f>3872</f>
        <v>3872</v>
      </c>
      <c r="L312" s="32" t="s">
        <v>1110</v>
      </c>
      <c r="M312" s="31">
        <f>4069</f>
        <v>4069</v>
      </c>
      <c r="N312" s="32" t="s">
        <v>1114</v>
      </c>
      <c r="O312" s="31">
        <f>3753</f>
        <v>3753</v>
      </c>
      <c r="P312" s="32" t="s">
        <v>1116</v>
      </c>
      <c r="Q312" s="31">
        <f>3947</f>
        <v>3947</v>
      </c>
      <c r="R312" s="32" t="s">
        <v>681</v>
      </c>
      <c r="S312" s="33">
        <f>3925.6</f>
        <v>3925.6</v>
      </c>
      <c r="T312" s="30">
        <f>7230</f>
        <v>7230</v>
      </c>
      <c r="U312" s="30">
        <f>20</f>
        <v>20</v>
      </c>
      <c r="V312" s="30">
        <f>28406620</f>
        <v>28406620</v>
      </c>
      <c r="W312" s="30">
        <f>77980</f>
        <v>77980</v>
      </c>
      <c r="X312" s="34">
        <f>20</f>
        <v>20</v>
      </c>
    </row>
    <row r="313" spans="1:24">
      <c r="A313" s="25" t="s">
        <v>1167</v>
      </c>
      <c r="B313" s="25" t="s">
        <v>711</v>
      </c>
      <c r="C313" s="25" t="s">
        <v>712</v>
      </c>
      <c r="D313" s="25" t="s">
        <v>713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3300</f>
        <v>3300</v>
      </c>
      <c r="L313" s="32" t="s">
        <v>1110</v>
      </c>
      <c r="M313" s="31">
        <f>3415</f>
        <v>3415</v>
      </c>
      <c r="N313" s="32" t="s">
        <v>1118</v>
      </c>
      <c r="O313" s="31">
        <f>3275</f>
        <v>3275</v>
      </c>
      <c r="P313" s="32" t="s">
        <v>759</v>
      </c>
      <c r="Q313" s="31">
        <f>3365</f>
        <v>3365</v>
      </c>
      <c r="R313" s="32" t="s">
        <v>681</v>
      </c>
      <c r="S313" s="33">
        <f>3343.81</f>
        <v>3343.81</v>
      </c>
      <c r="T313" s="30">
        <f>14619</f>
        <v>14619</v>
      </c>
      <c r="U313" s="30">
        <f>3133</f>
        <v>3133</v>
      </c>
      <c r="V313" s="30">
        <f>48626883</f>
        <v>48626883</v>
      </c>
      <c r="W313" s="30">
        <f>10436623</f>
        <v>10436623</v>
      </c>
      <c r="X313" s="34">
        <f>21</f>
        <v>21</v>
      </c>
    </row>
    <row r="314" spans="1:24">
      <c r="A314" s="25" t="s">
        <v>1167</v>
      </c>
      <c r="B314" s="25" t="s">
        <v>714</v>
      </c>
      <c r="C314" s="25" t="s">
        <v>1035</v>
      </c>
      <c r="D314" s="25" t="s">
        <v>1034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1688</f>
        <v>1688</v>
      </c>
      <c r="L314" s="32" t="s">
        <v>1110</v>
      </c>
      <c r="M314" s="31">
        <f>1750</f>
        <v>1750</v>
      </c>
      <c r="N314" s="32" t="s">
        <v>759</v>
      </c>
      <c r="O314" s="31">
        <f>1640</f>
        <v>1640</v>
      </c>
      <c r="P314" s="32" t="s">
        <v>777</v>
      </c>
      <c r="Q314" s="31">
        <f>1677</f>
        <v>1677</v>
      </c>
      <c r="R314" s="32" t="s">
        <v>681</v>
      </c>
      <c r="S314" s="33">
        <f>1697.67</f>
        <v>1697.67</v>
      </c>
      <c r="T314" s="30">
        <f>39371</f>
        <v>39371</v>
      </c>
      <c r="U314" s="30" t="str">
        <f>"－"</f>
        <v>－</v>
      </c>
      <c r="V314" s="30">
        <f>66896985</f>
        <v>66896985</v>
      </c>
      <c r="W314" s="30" t="str">
        <f>"－"</f>
        <v>－</v>
      </c>
      <c r="X314" s="34">
        <f>21</f>
        <v>21</v>
      </c>
    </row>
    <row r="315" spans="1:24">
      <c r="A315" s="25" t="s">
        <v>1167</v>
      </c>
      <c r="B315" s="25" t="s">
        <v>715</v>
      </c>
      <c r="C315" s="25" t="s">
        <v>716</v>
      </c>
      <c r="D315" s="25" t="s">
        <v>717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2039</f>
        <v>2039</v>
      </c>
      <c r="L315" s="32" t="s">
        <v>1110</v>
      </c>
      <c r="M315" s="31">
        <f>2138</f>
        <v>2138</v>
      </c>
      <c r="N315" s="32" t="s">
        <v>759</v>
      </c>
      <c r="O315" s="31">
        <f>1952</f>
        <v>1952</v>
      </c>
      <c r="P315" s="32" t="s">
        <v>777</v>
      </c>
      <c r="Q315" s="31">
        <f>1994</f>
        <v>1994</v>
      </c>
      <c r="R315" s="32" t="s">
        <v>681</v>
      </c>
      <c r="S315" s="33">
        <f>2068.43</f>
        <v>2068.4299999999998</v>
      </c>
      <c r="T315" s="30">
        <f>296880</f>
        <v>296880</v>
      </c>
      <c r="U315" s="30">
        <f>60068</f>
        <v>60068</v>
      </c>
      <c r="V315" s="30">
        <f>622899732</f>
        <v>622899732</v>
      </c>
      <c r="W315" s="30">
        <f>127292875</f>
        <v>127292875</v>
      </c>
      <c r="X315" s="34">
        <f>21</f>
        <v>21</v>
      </c>
    </row>
    <row r="316" spans="1:24">
      <c r="A316" s="25" t="s">
        <v>1167</v>
      </c>
      <c r="B316" s="25" t="s">
        <v>718</v>
      </c>
      <c r="C316" s="25" t="s">
        <v>719</v>
      </c>
      <c r="D316" s="25" t="s">
        <v>720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1625</f>
        <v>1625</v>
      </c>
      <c r="L316" s="32" t="s">
        <v>1110</v>
      </c>
      <c r="M316" s="31">
        <f>1680</f>
        <v>1680</v>
      </c>
      <c r="N316" s="32" t="s">
        <v>875</v>
      </c>
      <c r="O316" s="31">
        <f>1566</f>
        <v>1566</v>
      </c>
      <c r="P316" s="32" t="s">
        <v>777</v>
      </c>
      <c r="Q316" s="31">
        <f>1623</f>
        <v>1623</v>
      </c>
      <c r="R316" s="32" t="s">
        <v>681</v>
      </c>
      <c r="S316" s="33">
        <f>1623.19</f>
        <v>1623.19</v>
      </c>
      <c r="T316" s="30">
        <f>19931</f>
        <v>19931</v>
      </c>
      <c r="U316" s="30" t="str">
        <f>"－"</f>
        <v>－</v>
      </c>
      <c r="V316" s="30">
        <f>32449608</f>
        <v>32449608</v>
      </c>
      <c r="W316" s="30" t="str">
        <f>"－"</f>
        <v>－</v>
      </c>
      <c r="X316" s="34">
        <f>21</f>
        <v>21</v>
      </c>
    </row>
    <row r="317" spans="1:24">
      <c r="A317" s="25" t="s">
        <v>1167</v>
      </c>
      <c r="B317" s="25" t="s">
        <v>721</v>
      </c>
      <c r="C317" s="25" t="s">
        <v>722</v>
      </c>
      <c r="D317" s="25" t="s">
        <v>723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2871</f>
        <v>2871</v>
      </c>
      <c r="L317" s="32" t="s">
        <v>1110</v>
      </c>
      <c r="M317" s="31">
        <f>3000</f>
        <v>3000</v>
      </c>
      <c r="N317" s="32" t="s">
        <v>875</v>
      </c>
      <c r="O317" s="31">
        <f>2755</f>
        <v>2755</v>
      </c>
      <c r="P317" s="32" t="s">
        <v>876</v>
      </c>
      <c r="Q317" s="31">
        <f>2913</f>
        <v>2913</v>
      </c>
      <c r="R317" s="32" t="s">
        <v>681</v>
      </c>
      <c r="S317" s="33">
        <f>2878.81</f>
        <v>2878.81</v>
      </c>
      <c r="T317" s="30">
        <f>33971</f>
        <v>33971</v>
      </c>
      <c r="U317" s="30">
        <f>10</f>
        <v>10</v>
      </c>
      <c r="V317" s="30">
        <f>97703303</f>
        <v>97703303</v>
      </c>
      <c r="W317" s="30">
        <f>28861</f>
        <v>28861</v>
      </c>
      <c r="X317" s="34">
        <f>21</f>
        <v>21</v>
      </c>
    </row>
    <row r="318" spans="1:24">
      <c r="A318" s="25" t="s">
        <v>1167</v>
      </c>
      <c r="B318" s="25" t="s">
        <v>724</v>
      </c>
      <c r="C318" s="25" t="s">
        <v>1033</v>
      </c>
      <c r="D318" s="25" t="s">
        <v>1032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3160</f>
        <v>3160</v>
      </c>
      <c r="L318" s="32" t="s">
        <v>1110</v>
      </c>
      <c r="M318" s="31">
        <f>3295</f>
        <v>3295</v>
      </c>
      <c r="N318" s="32" t="s">
        <v>683</v>
      </c>
      <c r="O318" s="31">
        <f>3095</f>
        <v>3095</v>
      </c>
      <c r="P318" s="32" t="s">
        <v>1113</v>
      </c>
      <c r="Q318" s="31">
        <f>3245</f>
        <v>3245</v>
      </c>
      <c r="R318" s="32" t="s">
        <v>681</v>
      </c>
      <c r="S318" s="33">
        <f>3186.9</f>
        <v>3186.9</v>
      </c>
      <c r="T318" s="30">
        <f>251552</f>
        <v>251552</v>
      </c>
      <c r="U318" s="30">
        <f>1168</f>
        <v>1168</v>
      </c>
      <c r="V318" s="30">
        <f>801916770</f>
        <v>801916770</v>
      </c>
      <c r="W318" s="30">
        <f>3727305</f>
        <v>3727305</v>
      </c>
      <c r="X318" s="34">
        <f>21</f>
        <v>21</v>
      </c>
    </row>
    <row r="319" spans="1:24">
      <c r="A319" s="25" t="s">
        <v>1167</v>
      </c>
      <c r="B319" s="25" t="s">
        <v>725</v>
      </c>
      <c r="C319" s="25" t="s">
        <v>726</v>
      </c>
      <c r="D319" s="25" t="s">
        <v>727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36190</f>
        <v>36190</v>
      </c>
      <c r="L319" s="32" t="s">
        <v>1110</v>
      </c>
      <c r="M319" s="31">
        <f>36960</f>
        <v>36960</v>
      </c>
      <c r="N319" s="32" t="s">
        <v>1118</v>
      </c>
      <c r="O319" s="31">
        <f>36070</f>
        <v>36070</v>
      </c>
      <c r="P319" s="32" t="s">
        <v>777</v>
      </c>
      <c r="Q319" s="31">
        <f>36890</f>
        <v>36890</v>
      </c>
      <c r="R319" s="32" t="s">
        <v>681</v>
      </c>
      <c r="S319" s="33">
        <f>36538.33</f>
        <v>36538.33</v>
      </c>
      <c r="T319" s="30">
        <f>16</f>
        <v>16</v>
      </c>
      <c r="U319" s="30" t="str">
        <f>"－"</f>
        <v>－</v>
      </c>
      <c r="V319" s="30">
        <f>584010</f>
        <v>584010</v>
      </c>
      <c r="W319" s="30" t="str">
        <f>"－"</f>
        <v>－</v>
      </c>
      <c r="X319" s="34">
        <f>12</f>
        <v>12</v>
      </c>
    </row>
    <row r="320" spans="1:24">
      <c r="A320" s="25" t="s">
        <v>1167</v>
      </c>
      <c r="B320" s="25" t="s">
        <v>728</v>
      </c>
      <c r="C320" s="25" t="s">
        <v>729</v>
      </c>
      <c r="D320" s="25" t="s">
        <v>730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2767</f>
        <v>2767</v>
      </c>
      <c r="L320" s="32" t="s">
        <v>1110</v>
      </c>
      <c r="M320" s="31">
        <f>2887</f>
        <v>2887</v>
      </c>
      <c r="N320" s="32" t="s">
        <v>883</v>
      </c>
      <c r="O320" s="31">
        <f>2767</f>
        <v>2767</v>
      </c>
      <c r="P320" s="32" t="s">
        <v>1110</v>
      </c>
      <c r="Q320" s="31">
        <f>2873</f>
        <v>2873</v>
      </c>
      <c r="R320" s="32" t="s">
        <v>681</v>
      </c>
      <c r="S320" s="33">
        <f>2836</f>
        <v>2836</v>
      </c>
      <c r="T320" s="30">
        <f>1547</f>
        <v>1547</v>
      </c>
      <c r="U320" s="30">
        <f>100</f>
        <v>100</v>
      </c>
      <c r="V320" s="30">
        <f>4372901</f>
        <v>4372901</v>
      </c>
      <c r="W320" s="30">
        <f>278990</f>
        <v>278990</v>
      </c>
      <c r="X320" s="34">
        <f>16</f>
        <v>16</v>
      </c>
    </row>
    <row r="321" spans="1:24">
      <c r="A321" s="25" t="s">
        <v>1167</v>
      </c>
      <c r="B321" s="25" t="s">
        <v>731</v>
      </c>
      <c r="C321" s="25" t="s">
        <v>732</v>
      </c>
      <c r="D321" s="25" t="s">
        <v>733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4505</f>
        <v>4505</v>
      </c>
      <c r="L321" s="32" t="s">
        <v>1110</v>
      </c>
      <c r="M321" s="31">
        <f>4965</f>
        <v>4965</v>
      </c>
      <c r="N321" s="32" t="s">
        <v>883</v>
      </c>
      <c r="O321" s="31">
        <f>4505</f>
        <v>4505</v>
      </c>
      <c r="P321" s="32" t="s">
        <v>1110</v>
      </c>
      <c r="Q321" s="31">
        <f>4775</f>
        <v>4775</v>
      </c>
      <c r="R321" s="32" t="s">
        <v>681</v>
      </c>
      <c r="S321" s="33">
        <f>4758.57</f>
        <v>4758.57</v>
      </c>
      <c r="T321" s="30">
        <f>14625466</f>
        <v>14625466</v>
      </c>
      <c r="U321" s="30">
        <f>616817</f>
        <v>616817</v>
      </c>
      <c r="V321" s="30">
        <f>69697737000</f>
        <v>69697737000</v>
      </c>
      <c r="W321" s="30">
        <f>2930062465</f>
        <v>2930062465</v>
      </c>
      <c r="X321" s="34">
        <f>21</f>
        <v>21</v>
      </c>
    </row>
    <row r="322" spans="1:24">
      <c r="A322" s="25" t="s">
        <v>1167</v>
      </c>
      <c r="B322" s="25" t="s">
        <v>734</v>
      </c>
      <c r="C322" s="25" t="s">
        <v>735</v>
      </c>
      <c r="D322" s="25" t="s">
        <v>736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2038</f>
        <v>2038</v>
      </c>
      <c r="L322" s="32" t="s">
        <v>1110</v>
      </c>
      <c r="M322" s="31">
        <f>2088</f>
        <v>2088</v>
      </c>
      <c r="N322" s="32" t="s">
        <v>1118</v>
      </c>
      <c r="O322" s="31">
        <f>1981</f>
        <v>1981</v>
      </c>
      <c r="P322" s="32" t="s">
        <v>777</v>
      </c>
      <c r="Q322" s="31">
        <f>2041</f>
        <v>2041</v>
      </c>
      <c r="R322" s="32" t="s">
        <v>681</v>
      </c>
      <c r="S322" s="33">
        <f>2036.95</f>
        <v>2036.95</v>
      </c>
      <c r="T322" s="30">
        <f>17113</f>
        <v>17113</v>
      </c>
      <c r="U322" s="30">
        <f>200</f>
        <v>200</v>
      </c>
      <c r="V322" s="30">
        <f>34789379</f>
        <v>34789379</v>
      </c>
      <c r="W322" s="30">
        <f>413420</f>
        <v>413420</v>
      </c>
      <c r="X322" s="34">
        <f>21</f>
        <v>21</v>
      </c>
    </row>
    <row r="323" spans="1:24">
      <c r="A323" s="25" t="s">
        <v>1167</v>
      </c>
      <c r="B323" s="25" t="s">
        <v>737</v>
      </c>
      <c r="C323" s="25" t="s">
        <v>738</v>
      </c>
      <c r="D323" s="25" t="s">
        <v>739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1990</f>
        <v>1990</v>
      </c>
      <c r="L323" s="32" t="s">
        <v>1110</v>
      </c>
      <c r="M323" s="31">
        <f>2035</f>
        <v>2035</v>
      </c>
      <c r="N323" s="32" t="s">
        <v>1112</v>
      </c>
      <c r="O323" s="31">
        <f>1925</f>
        <v>1925</v>
      </c>
      <c r="P323" s="32" t="s">
        <v>777</v>
      </c>
      <c r="Q323" s="31">
        <f>1977</f>
        <v>1977</v>
      </c>
      <c r="R323" s="32" t="s">
        <v>681</v>
      </c>
      <c r="S323" s="33">
        <f>1972</f>
        <v>1972</v>
      </c>
      <c r="T323" s="30">
        <f>87484</f>
        <v>87484</v>
      </c>
      <c r="U323" s="30">
        <f>75900</f>
        <v>75900</v>
      </c>
      <c r="V323" s="30">
        <f>170399163</f>
        <v>170399163</v>
      </c>
      <c r="W323" s="30">
        <f>147582578</f>
        <v>147582578</v>
      </c>
      <c r="X323" s="34">
        <f>21</f>
        <v>21</v>
      </c>
    </row>
    <row r="324" spans="1:24">
      <c r="A324" s="25" t="s">
        <v>1167</v>
      </c>
      <c r="B324" s="25" t="s">
        <v>740</v>
      </c>
      <c r="C324" s="25" t="s">
        <v>741</v>
      </c>
      <c r="D324" s="25" t="s">
        <v>742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5664</f>
        <v>5664</v>
      </c>
      <c r="L324" s="32" t="s">
        <v>1110</v>
      </c>
      <c r="M324" s="31">
        <f>5830</f>
        <v>5830</v>
      </c>
      <c r="N324" s="32" t="s">
        <v>1118</v>
      </c>
      <c r="O324" s="31">
        <f>5618</f>
        <v>5618</v>
      </c>
      <c r="P324" s="32" t="s">
        <v>1116</v>
      </c>
      <c r="Q324" s="31">
        <f>5692</f>
        <v>5692</v>
      </c>
      <c r="R324" s="32" t="s">
        <v>681</v>
      </c>
      <c r="S324" s="33">
        <f>5691.84</f>
        <v>5691.84</v>
      </c>
      <c r="T324" s="30">
        <f>1080220</f>
        <v>1080220</v>
      </c>
      <c r="U324" s="30">
        <f>1074800</f>
        <v>1074800</v>
      </c>
      <c r="V324" s="30">
        <f>6149957560</f>
        <v>6149957560</v>
      </c>
      <c r="W324" s="30">
        <f>6119041530</f>
        <v>6119041530</v>
      </c>
      <c r="X324" s="34">
        <f>19</f>
        <v>19</v>
      </c>
    </row>
    <row r="325" spans="1:24">
      <c r="A325" s="25" t="s">
        <v>1167</v>
      </c>
      <c r="B325" s="25" t="s">
        <v>743</v>
      </c>
      <c r="C325" s="25" t="s">
        <v>744</v>
      </c>
      <c r="D325" s="25" t="s">
        <v>745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3633</f>
        <v>3633</v>
      </c>
      <c r="L325" s="32" t="s">
        <v>1110</v>
      </c>
      <c r="M325" s="31">
        <f>3775</f>
        <v>3775</v>
      </c>
      <c r="N325" s="32" t="s">
        <v>1118</v>
      </c>
      <c r="O325" s="31">
        <f>3632</f>
        <v>3632</v>
      </c>
      <c r="P325" s="32" t="s">
        <v>1110</v>
      </c>
      <c r="Q325" s="31">
        <f>3643</f>
        <v>3643</v>
      </c>
      <c r="R325" s="32" t="s">
        <v>777</v>
      </c>
      <c r="S325" s="33">
        <f>3681.5</f>
        <v>3681.5</v>
      </c>
      <c r="T325" s="30">
        <f>3464620</f>
        <v>3464620</v>
      </c>
      <c r="U325" s="30">
        <f>3406200</f>
        <v>3406200</v>
      </c>
      <c r="V325" s="30">
        <f>12770818522</f>
        <v>12770818522</v>
      </c>
      <c r="W325" s="30">
        <f>12555476382</f>
        <v>12555476382</v>
      </c>
      <c r="X325" s="34">
        <f>20</f>
        <v>20</v>
      </c>
    </row>
    <row r="326" spans="1:24">
      <c r="A326" s="25" t="s">
        <v>1167</v>
      </c>
      <c r="B326" s="25" t="s">
        <v>746</v>
      </c>
      <c r="C326" s="25" t="s">
        <v>747</v>
      </c>
      <c r="D326" s="25" t="s">
        <v>748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614.3</f>
        <v>614.29999999999995</v>
      </c>
      <c r="L326" s="32" t="s">
        <v>1110</v>
      </c>
      <c r="M326" s="31">
        <f>631.5</f>
        <v>631.5</v>
      </c>
      <c r="N326" s="32" t="s">
        <v>760</v>
      </c>
      <c r="O326" s="31">
        <f>614</f>
        <v>614</v>
      </c>
      <c r="P326" s="32" t="s">
        <v>1110</v>
      </c>
      <c r="Q326" s="31">
        <f>619</f>
        <v>619</v>
      </c>
      <c r="R326" s="32" t="s">
        <v>681</v>
      </c>
      <c r="S326" s="33">
        <f>622.75</f>
        <v>622.75</v>
      </c>
      <c r="T326" s="30">
        <f>90050</f>
        <v>90050</v>
      </c>
      <c r="U326" s="30" t="str">
        <f>"－"</f>
        <v>－</v>
      </c>
      <c r="V326" s="30">
        <f>56272636</f>
        <v>56272636</v>
      </c>
      <c r="W326" s="30" t="str">
        <f>"－"</f>
        <v>－</v>
      </c>
      <c r="X326" s="34">
        <f>21</f>
        <v>21</v>
      </c>
    </row>
    <row r="327" spans="1:24">
      <c r="A327" s="25" t="s">
        <v>1167</v>
      </c>
      <c r="B327" s="25" t="s">
        <v>749</v>
      </c>
      <c r="C327" s="25" t="s">
        <v>750</v>
      </c>
      <c r="D327" s="25" t="s">
        <v>751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2448</f>
        <v>2448</v>
      </c>
      <c r="L327" s="32" t="s">
        <v>1110</v>
      </c>
      <c r="M327" s="31">
        <f>2489</f>
        <v>2489</v>
      </c>
      <c r="N327" s="32" t="s">
        <v>876</v>
      </c>
      <c r="O327" s="31">
        <f>2301</f>
        <v>2301</v>
      </c>
      <c r="P327" s="32" t="s">
        <v>777</v>
      </c>
      <c r="Q327" s="31">
        <f>2347</f>
        <v>2347</v>
      </c>
      <c r="R327" s="32" t="s">
        <v>681</v>
      </c>
      <c r="S327" s="33">
        <f>2401.05</f>
        <v>2401.0500000000002</v>
      </c>
      <c r="T327" s="30">
        <f>80044</f>
        <v>80044</v>
      </c>
      <c r="U327" s="30">
        <f>64400</f>
        <v>64400</v>
      </c>
      <c r="V327" s="30">
        <f>186608410</f>
        <v>186608410</v>
      </c>
      <c r="W327" s="30">
        <f>149394688</f>
        <v>149394688</v>
      </c>
      <c r="X327" s="34">
        <f>21</f>
        <v>21</v>
      </c>
    </row>
    <row r="328" spans="1:24">
      <c r="A328" s="25" t="s">
        <v>1167</v>
      </c>
      <c r="B328" s="25" t="s">
        <v>752</v>
      </c>
      <c r="C328" s="25" t="s">
        <v>1031</v>
      </c>
      <c r="D328" s="25" t="s">
        <v>1030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2178</f>
        <v>2178</v>
      </c>
      <c r="L328" s="32" t="s">
        <v>1110</v>
      </c>
      <c r="M328" s="31">
        <f>2218</f>
        <v>2218</v>
      </c>
      <c r="N328" s="32" t="s">
        <v>875</v>
      </c>
      <c r="O328" s="31">
        <f>2112</f>
        <v>2112</v>
      </c>
      <c r="P328" s="32" t="s">
        <v>777</v>
      </c>
      <c r="Q328" s="31">
        <f>2161</f>
        <v>2161</v>
      </c>
      <c r="R328" s="32" t="s">
        <v>681</v>
      </c>
      <c r="S328" s="33">
        <f>2174.24</f>
        <v>2174.2399999999998</v>
      </c>
      <c r="T328" s="30">
        <f>161998</f>
        <v>161998</v>
      </c>
      <c r="U328" s="30">
        <f>150130</f>
        <v>150130</v>
      </c>
      <c r="V328" s="30">
        <f>341375392</f>
        <v>341375392</v>
      </c>
      <c r="W328" s="30">
        <f>315687880</f>
        <v>315687880</v>
      </c>
      <c r="X328" s="34">
        <f>21</f>
        <v>21</v>
      </c>
    </row>
    <row r="329" spans="1:24">
      <c r="A329" s="25" t="s">
        <v>1167</v>
      </c>
      <c r="B329" s="25" t="s">
        <v>753</v>
      </c>
      <c r="C329" s="25" t="s">
        <v>754</v>
      </c>
      <c r="D329" s="25" t="s">
        <v>755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8604</f>
        <v>8604</v>
      </c>
      <c r="L329" s="32" t="s">
        <v>1110</v>
      </c>
      <c r="M329" s="31">
        <f>8604</f>
        <v>8604</v>
      </c>
      <c r="N329" s="32" t="s">
        <v>1110</v>
      </c>
      <c r="O329" s="31">
        <f>8050</f>
        <v>8050</v>
      </c>
      <c r="P329" s="32" t="s">
        <v>1118</v>
      </c>
      <c r="Q329" s="31">
        <f>8462</f>
        <v>8462</v>
      </c>
      <c r="R329" s="32" t="s">
        <v>681</v>
      </c>
      <c r="S329" s="33">
        <f>8470.29</f>
        <v>8470.2900000000009</v>
      </c>
      <c r="T329" s="30">
        <f>237350</f>
        <v>237350</v>
      </c>
      <c r="U329" s="30">
        <f>234000</f>
        <v>234000</v>
      </c>
      <c r="V329" s="30">
        <f>2012879088</f>
        <v>2012879088</v>
      </c>
      <c r="W329" s="30">
        <f>1984552200</f>
        <v>1984552200</v>
      </c>
      <c r="X329" s="34">
        <f>21</f>
        <v>21</v>
      </c>
    </row>
    <row r="330" spans="1:24">
      <c r="A330" s="25" t="s">
        <v>1167</v>
      </c>
      <c r="B330" s="25" t="s">
        <v>756</v>
      </c>
      <c r="C330" s="25" t="s">
        <v>757</v>
      </c>
      <c r="D330" s="25" t="s">
        <v>758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5550</f>
        <v>5550</v>
      </c>
      <c r="L330" s="32" t="s">
        <v>1110</v>
      </c>
      <c r="M330" s="31">
        <f>5720</f>
        <v>5720</v>
      </c>
      <c r="N330" s="32" t="s">
        <v>1118</v>
      </c>
      <c r="O330" s="31">
        <f>5387</f>
        <v>5387</v>
      </c>
      <c r="P330" s="32" t="s">
        <v>777</v>
      </c>
      <c r="Q330" s="31">
        <f>5416</f>
        <v>5416</v>
      </c>
      <c r="R330" s="32" t="s">
        <v>681</v>
      </c>
      <c r="S330" s="33">
        <f>5467.05</f>
        <v>5467.05</v>
      </c>
      <c r="T330" s="30">
        <f>1822932</f>
        <v>1822932</v>
      </c>
      <c r="U330" s="30">
        <f>1803657</f>
        <v>1803657</v>
      </c>
      <c r="V330" s="30">
        <f>9991419815</f>
        <v>9991419815</v>
      </c>
      <c r="W330" s="30">
        <f>9885925979</f>
        <v>9885925979</v>
      </c>
      <c r="X330" s="34">
        <f>21</f>
        <v>21</v>
      </c>
    </row>
    <row r="331" spans="1:24">
      <c r="A331" s="25" t="s">
        <v>1167</v>
      </c>
      <c r="B331" s="25" t="s">
        <v>762</v>
      </c>
      <c r="C331" s="25" t="s">
        <v>763</v>
      </c>
      <c r="D331" s="25" t="s">
        <v>764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25390</f>
        <v>25390</v>
      </c>
      <c r="L331" s="32" t="s">
        <v>1110</v>
      </c>
      <c r="M331" s="31">
        <f>27515</f>
        <v>27515</v>
      </c>
      <c r="N331" s="32" t="s">
        <v>883</v>
      </c>
      <c r="O331" s="31">
        <f>25110</f>
        <v>25110</v>
      </c>
      <c r="P331" s="32" t="s">
        <v>1116</v>
      </c>
      <c r="Q331" s="31">
        <f>26860</f>
        <v>26860</v>
      </c>
      <c r="R331" s="32" t="s">
        <v>681</v>
      </c>
      <c r="S331" s="33">
        <f>26614.52</f>
        <v>26614.52</v>
      </c>
      <c r="T331" s="30">
        <f>56089</f>
        <v>56089</v>
      </c>
      <c r="U331" s="30">
        <f>91</f>
        <v>91</v>
      </c>
      <c r="V331" s="30">
        <f>1487496130</f>
        <v>1487496130</v>
      </c>
      <c r="W331" s="30">
        <f>2394010</f>
        <v>2394010</v>
      </c>
      <c r="X331" s="34">
        <f>21</f>
        <v>21</v>
      </c>
    </row>
    <row r="332" spans="1:24">
      <c r="A332" s="25" t="s">
        <v>1167</v>
      </c>
      <c r="B332" s="25" t="s">
        <v>765</v>
      </c>
      <c r="C332" s="25" t="s">
        <v>766</v>
      </c>
      <c r="D332" s="25" t="s">
        <v>767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10955</f>
        <v>10955</v>
      </c>
      <c r="L332" s="32" t="s">
        <v>1110</v>
      </c>
      <c r="M332" s="31">
        <f>11895</f>
        <v>11895</v>
      </c>
      <c r="N332" s="32" t="s">
        <v>883</v>
      </c>
      <c r="O332" s="31">
        <f>10945</f>
        <v>10945</v>
      </c>
      <c r="P332" s="32" t="s">
        <v>1110</v>
      </c>
      <c r="Q332" s="31">
        <f>11575</f>
        <v>11575</v>
      </c>
      <c r="R332" s="32" t="s">
        <v>681</v>
      </c>
      <c r="S332" s="33">
        <f>11545.95</f>
        <v>11545.95</v>
      </c>
      <c r="T332" s="30">
        <f>212546</f>
        <v>212546</v>
      </c>
      <c r="U332" s="30">
        <f>96011</f>
        <v>96011</v>
      </c>
      <c r="V332" s="30">
        <f>2456133694</f>
        <v>2456133694</v>
      </c>
      <c r="W332" s="30">
        <f>1106098399</f>
        <v>1106098399</v>
      </c>
      <c r="X332" s="34">
        <f>21</f>
        <v>21</v>
      </c>
    </row>
    <row r="333" spans="1:24">
      <c r="A333" s="25" t="s">
        <v>1167</v>
      </c>
      <c r="B333" s="25" t="s">
        <v>768</v>
      </c>
      <c r="C333" s="25" t="s">
        <v>769</v>
      </c>
      <c r="D333" s="25" t="s">
        <v>770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21210</f>
        <v>21210</v>
      </c>
      <c r="L333" s="32" t="s">
        <v>1110</v>
      </c>
      <c r="M333" s="31">
        <f>21220</f>
        <v>21220</v>
      </c>
      <c r="N333" s="32" t="s">
        <v>1110</v>
      </c>
      <c r="O333" s="31">
        <f>19555</f>
        <v>19555</v>
      </c>
      <c r="P333" s="32" t="s">
        <v>778</v>
      </c>
      <c r="Q333" s="31">
        <f>20005</f>
        <v>20005</v>
      </c>
      <c r="R333" s="32" t="s">
        <v>681</v>
      </c>
      <c r="S333" s="33">
        <f>20096.67</f>
        <v>20096.669999999998</v>
      </c>
      <c r="T333" s="30">
        <f>58357</f>
        <v>58357</v>
      </c>
      <c r="U333" s="30">
        <f>1306</f>
        <v>1306</v>
      </c>
      <c r="V333" s="30">
        <f>1176515360</f>
        <v>1176515360</v>
      </c>
      <c r="W333" s="30">
        <f>25722850</f>
        <v>25722850</v>
      </c>
      <c r="X333" s="34">
        <f>21</f>
        <v>21</v>
      </c>
    </row>
    <row r="334" spans="1:24">
      <c r="A334" s="25" t="s">
        <v>1167</v>
      </c>
      <c r="B334" s="25" t="s">
        <v>771</v>
      </c>
      <c r="C334" s="25" t="s">
        <v>772</v>
      </c>
      <c r="D334" s="25" t="s">
        <v>773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10</v>
      </c>
      <c r="K334" s="31">
        <f>4324</f>
        <v>4324</v>
      </c>
      <c r="L334" s="32" t="s">
        <v>1110</v>
      </c>
      <c r="M334" s="31">
        <f>4324</f>
        <v>4324</v>
      </c>
      <c r="N334" s="32" t="s">
        <v>1110</v>
      </c>
      <c r="O334" s="31">
        <f>4028</f>
        <v>4028</v>
      </c>
      <c r="P334" s="32" t="s">
        <v>1123</v>
      </c>
      <c r="Q334" s="31">
        <f>4061</f>
        <v>4061</v>
      </c>
      <c r="R334" s="32" t="s">
        <v>681</v>
      </c>
      <c r="S334" s="33">
        <f>4083.64</f>
        <v>4083.64</v>
      </c>
      <c r="T334" s="30">
        <f>119740</f>
        <v>119740</v>
      </c>
      <c r="U334" s="30">
        <f>113240</f>
        <v>113240</v>
      </c>
      <c r="V334" s="30">
        <f>485904023</f>
        <v>485904023</v>
      </c>
      <c r="W334" s="30">
        <f>459357963</f>
        <v>459357963</v>
      </c>
      <c r="X334" s="34">
        <f>14</f>
        <v>14</v>
      </c>
    </row>
    <row r="335" spans="1:24">
      <c r="A335" s="25" t="s">
        <v>1167</v>
      </c>
      <c r="B335" s="25" t="s">
        <v>774</v>
      </c>
      <c r="C335" s="25" t="s">
        <v>775</v>
      </c>
      <c r="D335" s="25" t="s">
        <v>776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10</v>
      </c>
      <c r="K335" s="31">
        <f>5290</f>
        <v>5290</v>
      </c>
      <c r="L335" s="32" t="s">
        <v>1110</v>
      </c>
      <c r="M335" s="31">
        <f>5979</f>
        <v>5979</v>
      </c>
      <c r="N335" s="32" t="s">
        <v>1118</v>
      </c>
      <c r="O335" s="31">
        <f>5252</f>
        <v>5252</v>
      </c>
      <c r="P335" s="32" t="s">
        <v>1116</v>
      </c>
      <c r="Q335" s="31">
        <f>5374</f>
        <v>5374</v>
      </c>
      <c r="R335" s="32" t="s">
        <v>681</v>
      </c>
      <c r="S335" s="33">
        <f>5366.67</f>
        <v>5366.67</v>
      </c>
      <c r="T335" s="30">
        <f>87000</f>
        <v>87000</v>
      </c>
      <c r="U335" s="30">
        <f>69750</f>
        <v>69750</v>
      </c>
      <c r="V335" s="30">
        <f>467394734</f>
        <v>467394734</v>
      </c>
      <c r="W335" s="30">
        <f>374781414</f>
        <v>374781414</v>
      </c>
      <c r="X335" s="34">
        <f>21</f>
        <v>21</v>
      </c>
    </row>
    <row r="336" spans="1:24">
      <c r="A336" s="25" t="s">
        <v>1167</v>
      </c>
      <c r="B336" s="25" t="s">
        <v>786</v>
      </c>
      <c r="C336" s="25" t="s">
        <v>787</v>
      </c>
      <c r="D336" s="25" t="s">
        <v>788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10</v>
      </c>
      <c r="K336" s="31">
        <f>2297</f>
        <v>2297</v>
      </c>
      <c r="L336" s="32" t="s">
        <v>1110</v>
      </c>
      <c r="M336" s="31">
        <f>2544.5</f>
        <v>2544.5</v>
      </c>
      <c r="N336" s="32" t="s">
        <v>874</v>
      </c>
      <c r="O336" s="31">
        <f>2286.5</f>
        <v>2286.5</v>
      </c>
      <c r="P336" s="32" t="s">
        <v>1110</v>
      </c>
      <c r="Q336" s="31">
        <f>2450</f>
        <v>2450</v>
      </c>
      <c r="R336" s="32" t="s">
        <v>681</v>
      </c>
      <c r="S336" s="33">
        <f>2420.69</f>
        <v>2420.69</v>
      </c>
      <c r="T336" s="30">
        <f>1048130</f>
        <v>1048130</v>
      </c>
      <c r="U336" s="30">
        <f>124180</f>
        <v>124180</v>
      </c>
      <c r="V336" s="30">
        <f>2549383335</f>
        <v>2549383335</v>
      </c>
      <c r="W336" s="30">
        <f>303911680</f>
        <v>303911680</v>
      </c>
      <c r="X336" s="34">
        <f>21</f>
        <v>21</v>
      </c>
    </row>
    <row r="337" spans="1:24">
      <c r="A337" s="25" t="s">
        <v>1167</v>
      </c>
      <c r="B337" s="25" t="s">
        <v>789</v>
      </c>
      <c r="C337" s="25" t="s">
        <v>790</v>
      </c>
      <c r="D337" s="25" t="s">
        <v>791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10</v>
      </c>
      <c r="K337" s="31">
        <f>2010.5</f>
        <v>2010.5</v>
      </c>
      <c r="L337" s="32" t="s">
        <v>1110</v>
      </c>
      <c r="M337" s="31">
        <f>2139</f>
        <v>2139</v>
      </c>
      <c r="N337" s="32" t="s">
        <v>1118</v>
      </c>
      <c r="O337" s="31">
        <f>2010.5</f>
        <v>2010.5</v>
      </c>
      <c r="P337" s="32" t="s">
        <v>1110</v>
      </c>
      <c r="Q337" s="31">
        <f>2025</f>
        <v>2025</v>
      </c>
      <c r="R337" s="32" t="s">
        <v>681</v>
      </c>
      <c r="S337" s="33">
        <f>2076.05</f>
        <v>2076.0500000000002</v>
      </c>
      <c r="T337" s="30">
        <f>247650</f>
        <v>247650</v>
      </c>
      <c r="U337" s="30">
        <f>40260</f>
        <v>40260</v>
      </c>
      <c r="V337" s="30">
        <f>512454891</f>
        <v>512454891</v>
      </c>
      <c r="W337" s="30">
        <f>83744106</f>
        <v>83744106</v>
      </c>
      <c r="X337" s="34">
        <f>21</f>
        <v>21</v>
      </c>
    </row>
    <row r="338" spans="1:24">
      <c r="A338" s="25" t="s">
        <v>1167</v>
      </c>
      <c r="B338" s="25" t="s">
        <v>792</v>
      </c>
      <c r="C338" s="25" t="s">
        <v>793</v>
      </c>
      <c r="D338" s="25" t="s">
        <v>794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</v>
      </c>
      <c r="K338" s="31">
        <f>1872</f>
        <v>1872</v>
      </c>
      <c r="L338" s="32" t="s">
        <v>1110</v>
      </c>
      <c r="M338" s="31">
        <f>1884</f>
        <v>1884</v>
      </c>
      <c r="N338" s="32" t="s">
        <v>1117</v>
      </c>
      <c r="O338" s="31">
        <f>1828</f>
        <v>1828</v>
      </c>
      <c r="P338" s="32" t="s">
        <v>876</v>
      </c>
      <c r="Q338" s="31">
        <f>1883</f>
        <v>1883</v>
      </c>
      <c r="R338" s="32" t="s">
        <v>681</v>
      </c>
      <c r="S338" s="33">
        <f>1854.33</f>
        <v>1854.33</v>
      </c>
      <c r="T338" s="30">
        <f>13932</f>
        <v>13932</v>
      </c>
      <c r="U338" s="30" t="str">
        <f>"－"</f>
        <v>－</v>
      </c>
      <c r="V338" s="30">
        <f>25553047</f>
        <v>25553047</v>
      </c>
      <c r="W338" s="30" t="str">
        <f>"－"</f>
        <v>－</v>
      </c>
      <c r="X338" s="34">
        <f>21</f>
        <v>21</v>
      </c>
    </row>
    <row r="339" spans="1:24">
      <c r="A339" s="25" t="s">
        <v>1167</v>
      </c>
      <c r="B339" s="25" t="s">
        <v>795</v>
      </c>
      <c r="C339" s="25" t="s">
        <v>796</v>
      </c>
      <c r="D339" s="25" t="s">
        <v>797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</v>
      </c>
      <c r="K339" s="31">
        <f>2059</f>
        <v>2059</v>
      </c>
      <c r="L339" s="32" t="s">
        <v>1110</v>
      </c>
      <c r="M339" s="31">
        <f>2104</f>
        <v>2104</v>
      </c>
      <c r="N339" s="32" t="s">
        <v>883</v>
      </c>
      <c r="O339" s="31">
        <f>2033</f>
        <v>2033</v>
      </c>
      <c r="P339" s="32" t="s">
        <v>759</v>
      </c>
      <c r="Q339" s="31">
        <f>2070</f>
        <v>2070</v>
      </c>
      <c r="R339" s="32" t="s">
        <v>681</v>
      </c>
      <c r="S339" s="33">
        <f>2065.16</f>
        <v>2065.16</v>
      </c>
      <c r="T339" s="30">
        <f>1577</f>
        <v>1577</v>
      </c>
      <c r="U339" s="30" t="str">
        <f>"－"</f>
        <v>－</v>
      </c>
      <c r="V339" s="30">
        <f>3261409</f>
        <v>3261409</v>
      </c>
      <c r="W339" s="30" t="str">
        <f>"－"</f>
        <v>－</v>
      </c>
      <c r="X339" s="34">
        <f>19</f>
        <v>19</v>
      </c>
    </row>
    <row r="340" spans="1:24">
      <c r="A340" s="25" t="s">
        <v>1167</v>
      </c>
      <c r="B340" s="25" t="s">
        <v>798</v>
      </c>
      <c r="C340" s="25" t="s">
        <v>799</v>
      </c>
      <c r="D340" s="25" t="s">
        <v>800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4170</f>
        <v>4170</v>
      </c>
      <c r="L340" s="32" t="s">
        <v>1110</v>
      </c>
      <c r="M340" s="31">
        <f>4215</f>
        <v>4215</v>
      </c>
      <c r="N340" s="32" t="s">
        <v>759</v>
      </c>
      <c r="O340" s="31">
        <f>4050</f>
        <v>4050</v>
      </c>
      <c r="P340" s="32" t="s">
        <v>777</v>
      </c>
      <c r="Q340" s="31">
        <f>4110</f>
        <v>4110</v>
      </c>
      <c r="R340" s="32" t="s">
        <v>681</v>
      </c>
      <c r="S340" s="33">
        <f>4152.86</f>
        <v>4152.8599999999997</v>
      </c>
      <c r="T340" s="30">
        <f>122531</f>
        <v>122531</v>
      </c>
      <c r="U340" s="30">
        <f>97060</f>
        <v>97060</v>
      </c>
      <c r="V340" s="30">
        <f>506171575</f>
        <v>506171575</v>
      </c>
      <c r="W340" s="30">
        <f>400836540</f>
        <v>400836540</v>
      </c>
      <c r="X340" s="34">
        <f>21</f>
        <v>21</v>
      </c>
    </row>
    <row r="341" spans="1:24">
      <c r="A341" s="25" t="s">
        <v>1167</v>
      </c>
      <c r="B341" s="25" t="s">
        <v>801</v>
      </c>
      <c r="C341" s="25" t="s">
        <v>802</v>
      </c>
      <c r="D341" s="25" t="s">
        <v>803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2720</f>
        <v>2720</v>
      </c>
      <c r="L341" s="32" t="s">
        <v>1123</v>
      </c>
      <c r="M341" s="31">
        <f>2831.5</f>
        <v>2831.5</v>
      </c>
      <c r="N341" s="32" t="s">
        <v>682</v>
      </c>
      <c r="O341" s="31">
        <f>2720</f>
        <v>2720</v>
      </c>
      <c r="P341" s="32" t="s">
        <v>1123</v>
      </c>
      <c r="Q341" s="31">
        <f>2770.5</f>
        <v>2770.5</v>
      </c>
      <c r="R341" s="32" t="s">
        <v>778</v>
      </c>
      <c r="S341" s="33">
        <f>2766.4</f>
        <v>2766.4</v>
      </c>
      <c r="T341" s="30">
        <f>430</f>
        <v>430</v>
      </c>
      <c r="U341" s="30" t="str">
        <f>"－"</f>
        <v>－</v>
      </c>
      <c r="V341" s="30">
        <f>1189365</f>
        <v>1189365</v>
      </c>
      <c r="W341" s="30" t="str">
        <f>"－"</f>
        <v>－</v>
      </c>
      <c r="X341" s="34">
        <f>5</f>
        <v>5</v>
      </c>
    </row>
    <row r="342" spans="1:24">
      <c r="A342" s="25" t="s">
        <v>1167</v>
      </c>
      <c r="B342" s="25" t="s">
        <v>812</v>
      </c>
      <c r="C342" s="25" t="s">
        <v>813</v>
      </c>
      <c r="D342" s="25" t="s">
        <v>814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266.6</f>
        <v>266.60000000000002</v>
      </c>
      <c r="L342" s="32" t="s">
        <v>1110</v>
      </c>
      <c r="M342" s="31">
        <f>274.3</f>
        <v>274.3</v>
      </c>
      <c r="N342" s="32" t="s">
        <v>1117</v>
      </c>
      <c r="O342" s="31">
        <f>257.1</f>
        <v>257.10000000000002</v>
      </c>
      <c r="P342" s="32" t="s">
        <v>876</v>
      </c>
      <c r="Q342" s="31">
        <f>262.2</f>
        <v>262.2</v>
      </c>
      <c r="R342" s="32" t="s">
        <v>681</v>
      </c>
      <c r="S342" s="33">
        <f>266.43</f>
        <v>266.43</v>
      </c>
      <c r="T342" s="30">
        <f>10530</f>
        <v>10530</v>
      </c>
      <c r="U342" s="30" t="str">
        <f>"－"</f>
        <v>－</v>
      </c>
      <c r="V342" s="30">
        <f>2801960</f>
        <v>2801960</v>
      </c>
      <c r="W342" s="30" t="str">
        <f>"－"</f>
        <v>－</v>
      </c>
      <c r="X342" s="34">
        <f>20</f>
        <v>20</v>
      </c>
    </row>
    <row r="343" spans="1:24">
      <c r="A343" s="25" t="s">
        <v>1167</v>
      </c>
      <c r="B343" s="25" t="s">
        <v>804</v>
      </c>
      <c r="C343" s="25" t="s">
        <v>805</v>
      </c>
      <c r="D343" s="25" t="s">
        <v>806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10</v>
      </c>
      <c r="K343" s="31">
        <f>181.8</f>
        <v>181.8</v>
      </c>
      <c r="L343" s="32" t="s">
        <v>1110</v>
      </c>
      <c r="M343" s="31">
        <f>183</f>
        <v>183</v>
      </c>
      <c r="N343" s="32" t="s">
        <v>1115</v>
      </c>
      <c r="O343" s="31">
        <f>169.8</f>
        <v>169.8</v>
      </c>
      <c r="P343" s="32" t="s">
        <v>777</v>
      </c>
      <c r="Q343" s="31">
        <f>171.7</f>
        <v>171.7</v>
      </c>
      <c r="R343" s="32" t="s">
        <v>681</v>
      </c>
      <c r="S343" s="33">
        <f>176.49</f>
        <v>176.49</v>
      </c>
      <c r="T343" s="30">
        <f>118380</f>
        <v>118380</v>
      </c>
      <c r="U343" s="30">
        <f>98580</f>
        <v>98580</v>
      </c>
      <c r="V343" s="30">
        <f>20482078</f>
        <v>20482078</v>
      </c>
      <c r="W343" s="30">
        <f>17005759</f>
        <v>17005759</v>
      </c>
      <c r="X343" s="34">
        <f>21</f>
        <v>21</v>
      </c>
    </row>
    <row r="344" spans="1:24">
      <c r="A344" s="25" t="s">
        <v>1167</v>
      </c>
      <c r="B344" s="25" t="s">
        <v>807</v>
      </c>
      <c r="C344" s="25" t="s">
        <v>808</v>
      </c>
      <c r="D344" s="25" t="s">
        <v>809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666.4</f>
        <v>666.4</v>
      </c>
      <c r="L344" s="32" t="s">
        <v>1110</v>
      </c>
      <c r="M344" s="31">
        <f>682.4</f>
        <v>682.4</v>
      </c>
      <c r="N344" s="32" t="s">
        <v>1112</v>
      </c>
      <c r="O344" s="31">
        <f>663.1</f>
        <v>663.1</v>
      </c>
      <c r="P344" s="32" t="s">
        <v>681</v>
      </c>
      <c r="Q344" s="31">
        <f>663.1</f>
        <v>663.1</v>
      </c>
      <c r="R344" s="32" t="s">
        <v>681</v>
      </c>
      <c r="S344" s="33">
        <f>669.52</f>
        <v>669.52</v>
      </c>
      <c r="T344" s="30">
        <f>40150</f>
        <v>40150</v>
      </c>
      <c r="U344" s="30">
        <f>28290</f>
        <v>28290</v>
      </c>
      <c r="V344" s="30">
        <f>26897442</f>
        <v>26897442</v>
      </c>
      <c r="W344" s="30">
        <f>18946661</f>
        <v>18946661</v>
      </c>
      <c r="X344" s="34">
        <f>15</f>
        <v>15</v>
      </c>
    </row>
    <row r="345" spans="1:24">
      <c r="A345" s="25" t="s">
        <v>1167</v>
      </c>
      <c r="B345" s="25" t="s">
        <v>815</v>
      </c>
      <c r="C345" s="25" t="s">
        <v>816</v>
      </c>
      <c r="D345" s="25" t="s">
        <v>817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1424</f>
        <v>1424</v>
      </c>
      <c r="L345" s="32" t="s">
        <v>1110</v>
      </c>
      <c r="M345" s="31">
        <f>1511</f>
        <v>1511</v>
      </c>
      <c r="N345" s="32" t="s">
        <v>1112</v>
      </c>
      <c r="O345" s="31">
        <f>1412</f>
        <v>1412</v>
      </c>
      <c r="P345" s="32" t="s">
        <v>1116</v>
      </c>
      <c r="Q345" s="31">
        <f>1495</f>
        <v>1495</v>
      </c>
      <c r="R345" s="32" t="s">
        <v>681</v>
      </c>
      <c r="S345" s="33">
        <f>1467.24</f>
        <v>1467.24</v>
      </c>
      <c r="T345" s="30">
        <f>250324</f>
        <v>250324</v>
      </c>
      <c r="U345" s="30">
        <f>300</f>
        <v>300</v>
      </c>
      <c r="V345" s="30">
        <f>366712049</f>
        <v>366712049</v>
      </c>
      <c r="W345" s="30">
        <f>426903</f>
        <v>426903</v>
      </c>
      <c r="X345" s="34">
        <f>21</f>
        <v>21</v>
      </c>
    </row>
    <row r="346" spans="1:24">
      <c r="A346" s="25" t="s">
        <v>1167</v>
      </c>
      <c r="B346" s="25" t="s">
        <v>818</v>
      </c>
      <c r="C346" s="25" t="s">
        <v>819</v>
      </c>
      <c r="D346" s="25" t="s">
        <v>820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923</f>
        <v>923</v>
      </c>
      <c r="L346" s="32" t="s">
        <v>1110</v>
      </c>
      <c r="M346" s="31">
        <f>937</f>
        <v>937</v>
      </c>
      <c r="N346" s="32" t="s">
        <v>1113</v>
      </c>
      <c r="O346" s="31">
        <f>874</f>
        <v>874</v>
      </c>
      <c r="P346" s="32" t="s">
        <v>777</v>
      </c>
      <c r="Q346" s="31">
        <f>890</f>
        <v>890</v>
      </c>
      <c r="R346" s="32" t="s">
        <v>681</v>
      </c>
      <c r="S346" s="33">
        <f>908.19</f>
        <v>908.19</v>
      </c>
      <c r="T346" s="30">
        <f>12345</f>
        <v>12345</v>
      </c>
      <c r="U346" s="30" t="str">
        <f>"－"</f>
        <v>－</v>
      </c>
      <c r="V346" s="30">
        <f>11220564</f>
        <v>11220564</v>
      </c>
      <c r="W346" s="30" t="str">
        <f>"－"</f>
        <v>－</v>
      </c>
      <c r="X346" s="34">
        <f>21</f>
        <v>21</v>
      </c>
    </row>
    <row r="347" spans="1:24">
      <c r="A347" s="25" t="s">
        <v>1167</v>
      </c>
      <c r="B347" s="25" t="s">
        <v>821</v>
      </c>
      <c r="C347" s="25" t="s">
        <v>822</v>
      </c>
      <c r="D347" s="25" t="s">
        <v>823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10</v>
      </c>
      <c r="K347" s="31">
        <f>694.8</f>
        <v>694.8</v>
      </c>
      <c r="L347" s="32" t="s">
        <v>1110</v>
      </c>
      <c r="M347" s="31">
        <f>705.4</f>
        <v>705.4</v>
      </c>
      <c r="N347" s="32" t="s">
        <v>874</v>
      </c>
      <c r="O347" s="31">
        <f>690.1</f>
        <v>690.1</v>
      </c>
      <c r="P347" s="32" t="s">
        <v>1110</v>
      </c>
      <c r="Q347" s="31">
        <f>694.2</f>
        <v>694.2</v>
      </c>
      <c r="R347" s="32" t="s">
        <v>681</v>
      </c>
      <c r="S347" s="33">
        <f>696.25</f>
        <v>696.25</v>
      </c>
      <c r="T347" s="30">
        <f>504080</f>
        <v>504080</v>
      </c>
      <c r="U347" s="30">
        <f>140170</f>
        <v>140170</v>
      </c>
      <c r="V347" s="30">
        <f>351418931</f>
        <v>351418931</v>
      </c>
      <c r="W347" s="30">
        <f>97908346</f>
        <v>97908346</v>
      </c>
      <c r="X347" s="34">
        <f>21</f>
        <v>21</v>
      </c>
    </row>
    <row r="348" spans="1:24">
      <c r="A348" s="25" t="s">
        <v>1167</v>
      </c>
      <c r="B348" s="25" t="s">
        <v>824</v>
      </c>
      <c r="C348" s="25" t="s">
        <v>825</v>
      </c>
      <c r="D348" s="25" t="s">
        <v>826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679.1</f>
        <v>679.1</v>
      </c>
      <c r="L348" s="32" t="s">
        <v>1110</v>
      </c>
      <c r="M348" s="31">
        <f>702.8</f>
        <v>702.8</v>
      </c>
      <c r="N348" s="32" t="s">
        <v>1118</v>
      </c>
      <c r="O348" s="31">
        <f>672.5</f>
        <v>672.5</v>
      </c>
      <c r="P348" s="32" t="s">
        <v>777</v>
      </c>
      <c r="Q348" s="31">
        <f>675.2</f>
        <v>675.2</v>
      </c>
      <c r="R348" s="32" t="s">
        <v>681</v>
      </c>
      <c r="S348" s="33">
        <f>681.59</f>
        <v>681.59</v>
      </c>
      <c r="T348" s="30">
        <f>6941120</f>
        <v>6941120</v>
      </c>
      <c r="U348" s="30">
        <f>6756030</f>
        <v>6756030</v>
      </c>
      <c r="V348" s="30">
        <f>4697426287</f>
        <v>4697426287</v>
      </c>
      <c r="W348" s="30">
        <f>4571252268</f>
        <v>4571252268</v>
      </c>
      <c r="X348" s="34">
        <f>21</f>
        <v>21</v>
      </c>
    </row>
    <row r="349" spans="1:24">
      <c r="A349" s="25" t="s">
        <v>1167</v>
      </c>
      <c r="B349" s="25" t="s">
        <v>827</v>
      </c>
      <c r="C349" s="25" t="s">
        <v>828</v>
      </c>
      <c r="D349" s="25" t="s">
        <v>829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1231</f>
        <v>1231</v>
      </c>
      <c r="L349" s="32" t="s">
        <v>1110</v>
      </c>
      <c r="M349" s="31">
        <f>1248</f>
        <v>1248</v>
      </c>
      <c r="N349" s="32" t="s">
        <v>778</v>
      </c>
      <c r="O349" s="31">
        <f>1219</f>
        <v>1219</v>
      </c>
      <c r="P349" s="32" t="s">
        <v>1116</v>
      </c>
      <c r="Q349" s="31">
        <f>1243</f>
        <v>1243</v>
      </c>
      <c r="R349" s="32" t="s">
        <v>681</v>
      </c>
      <c r="S349" s="33">
        <f>1237.62</f>
        <v>1237.6199999999999</v>
      </c>
      <c r="T349" s="30">
        <f>71089</f>
        <v>71089</v>
      </c>
      <c r="U349" s="30" t="str">
        <f>"－"</f>
        <v>－</v>
      </c>
      <c r="V349" s="30">
        <f>87623552</f>
        <v>87623552</v>
      </c>
      <c r="W349" s="30" t="str">
        <f>"－"</f>
        <v>－</v>
      </c>
      <c r="X349" s="34">
        <f>21</f>
        <v>21</v>
      </c>
    </row>
    <row r="350" spans="1:24">
      <c r="A350" s="25" t="s">
        <v>1167</v>
      </c>
      <c r="B350" s="25" t="s">
        <v>836</v>
      </c>
      <c r="C350" s="25" t="s">
        <v>837</v>
      </c>
      <c r="D350" s="25" t="s">
        <v>838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2635</f>
        <v>2635</v>
      </c>
      <c r="L350" s="32" t="s">
        <v>1110</v>
      </c>
      <c r="M350" s="31">
        <f>2751.5</f>
        <v>2751.5</v>
      </c>
      <c r="N350" s="32" t="s">
        <v>1118</v>
      </c>
      <c r="O350" s="31">
        <f>2607.5</f>
        <v>2607.5</v>
      </c>
      <c r="P350" s="32" t="s">
        <v>1116</v>
      </c>
      <c r="Q350" s="31">
        <f>2681</f>
        <v>2681</v>
      </c>
      <c r="R350" s="32" t="s">
        <v>681</v>
      </c>
      <c r="S350" s="33">
        <f>2697.48</f>
        <v>2697.48</v>
      </c>
      <c r="T350" s="30">
        <f>24470</f>
        <v>24470</v>
      </c>
      <c r="U350" s="30" t="str">
        <f>"－"</f>
        <v>－</v>
      </c>
      <c r="V350" s="30">
        <f>65850080</f>
        <v>65850080</v>
      </c>
      <c r="W350" s="30" t="str">
        <f>"－"</f>
        <v>－</v>
      </c>
      <c r="X350" s="34">
        <f>21</f>
        <v>21</v>
      </c>
    </row>
    <row r="351" spans="1:24">
      <c r="A351" s="25" t="s">
        <v>1167</v>
      </c>
      <c r="B351" s="25" t="s">
        <v>839</v>
      </c>
      <c r="C351" s="25" t="s">
        <v>840</v>
      </c>
      <c r="D351" s="25" t="s">
        <v>841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2571</f>
        <v>2571</v>
      </c>
      <c r="L351" s="32" t="s">
        <v>1110</v>
      </c>
      <c r="M351" s="31">
        <f>2696</f>
        <v>2696</v>
      </c>
      <c r="N351" s="32" t="s">
        <v>1123</v>
      </c>
      <c r="O351" s="31">
        <f>2498</f>
        <v>2498</v>
      </c>
      <c r="P351" s="32" t="s">
        <v>1113</v>
      </c>
      <c r="Q351" s="31">
        <f>2593.5</f>
        <v>2593.5</v>
      </c>
      <c r="R351" s="32" t="s">
        <v>681</v>
      </c>
      <c r="S351" s="33">
        <f>2616.1</f>
        <v>2616.1</v>
      </c>
      <c r="T351" s="30">
        <f>16810</f>
        <v>16810</v>
      </c>
      <c r="U351" s="30">
        <f>4000</f>
        <v>4000</v>
      </c>
      <c r="V351" s="30">
        <f>43890320</f>
        <v>43890320</v>
      </c>
      <c r="W351" s="30">
        <f>10309200</f>
        <v>10309200</v>
      </c>
      <c r="X351" s="34">
        <f>21</f>
        <v>21</v>
      </c>
    </row>
    <row r="352" spans="1:24">
      <c r="A352" s="25" t="s">
        <v>1167</v>
      </c>
      <c r="B352" s="25" t="s">
        <v>830</v>
      </c>
      <c r="C352" s="25" t="s">
        <v>831</v>
      </c>
      <c r="D352" s="25" t="s">
        <v>832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5452</f>
        <v>5452</v>
      </c>
      <c r="L352" s="32" t="s">
        <v>1116</v>
      </c>
      <c r="M352" s="31">
        <f>5550</f>
        <v>5550</v>
      </c>
      <c r="N352" s="32" t="s">
        <v>1111</v>
      </c>
      <c r="O352" s="31">
        <f>5449</f>
        <v>5449</v>
      </c>
      <c r="P352" s="32" t="s">
        <v>1116</v>
      </c>
      <c r="Q352" s="31">
        <f>5472</f>
        <v>5472</v>
      </c>
      <c r="R352" s="32" t="s">
        <v>681</v>
      </c>
      <c r="S352" s="33">
        <f>5492.44</f>
        <v>5492.44</v>
      </c>
      <c r="T352" s="30">
        <f>144050</f>
        <v>144050</v>
      </c>
      <c r="U352" s="30">
        <f>32890</f>
        <v>32890</v>
      </c>
      <c r="V352" s="30">
        <f>790146076</f>
        <v>790146076</v>
      </c>
      <c r="W352" s="30">
        <f>180629586</f>
        <v>180629586</v>
      </c>
      <c r="X352" s="34">
        <f>16</f>
        <v>16</v>
      </c>
    </row>
    <row r="353" spans="1:24">
      <c r="A353" s="25" t="s">
        <v>1167</v>
      </c>
      <c r="B353" s="25" t="s">
        <v>833</v>
      </c>
      <c r="C353" s="25" t="s">
        <v>834</v>
      </c>
      <c r="D353" s="25" t="s">
        <v>835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4336</f>
        <v>4336</v>
      </c>
      <c r="L353" s="32" t="s">
        <v>1110</v>
      </c>
      <c r="M353" s="31">
        <f>4336</f>
        <v>4336</v>
      </c>
      <c r="N353" s="32" t="s">
        <v>1110</v>
      </c>
      <c r="O353" s="31">
        <f>4198</f>
        <v>4198</v>
      </c>
      <c r="P353" s="32" t="s">
        <v>681</v>
      </c>
      <c r="Q353" s="31">
        <f>4198</f>
        <v>4198</v>
      </c>
      <c r="R353" s="32" t="s">
        <v>681</v>
      </c>
      <c r="S353" s="33">
        <f>4261.25</f>
        <v>4261.25</v>
      </c>
      <c r="T353" s="30">
        <f>39950</f>
        <v>39950</v>
      </c>
      <c r="U353" s="30">
        <f>15370</f>
        <v>15370</v>
      </c>
      <c r="V353" s="30">
        <f>169518465</f>
        <v>169518465</v>
      </c>
      <c r="W353" s="30">
        <f>65049185</f>
        <v>65049185</v>
      </c>
      <c r="X353" s="34">
        <f>12</f>
        <v>12</v>
      </c>
    </row>
    <row r="354" spans="1:24">
      <c r="A354" s="25" t="s">
        <v>1167</v>
      </c>
      <c r="B354" s="25" t="s">
        <v>842</v>
      </c>
      <c r="C354" s="25" t="s">
        <v>843</v>
      </c>
      <c r="D354" s="25" t="s">
        <v>844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10</v>
      </c>
      <c r="K354" s="31">
        <f>1870.5</f>
        <v>1870.5</v>
      </c>
      <c r="L354" s="32" t="s">
        <v>1115</v>
      </c>
      <c r="M354" s="31">
        <f>2278</f>
        <v>2278</v>
      </c>
      <c r="N354" s="32" t="s">
        <v>1118</v>
      </c>
      <c r="O354" s="31">
        <f>1870.5</f>
        <v>1870.5</v>
      </c>
      <c r="P354" s="32" t="s">
        <v>1115</v>
      </c>
      <c r="Q354" s="31">
        <f>1872</f>
        <v>1872</v>
      </c>
      <c r="R354" s="32" t="s">
        <v>777</v>
      </c>
      <c r="S354" s="33">
        <f>1890.22</f>
        <v>1890.22</v>
      </c>
      <c r="T354" s="30">
        <f>7410</f>
        <v>7410</v>
      </c>
      <c r="U354" s="30">
        <f>5400</f>
        <v>5400</v>
      </c>
      <c r="V354" s="30">
        <f>13963110</f>
        <v>13963110</v>
      </c>
      <c r="W354" s="30">
        <f>10108800</f>
        <v>10108800</v>
      </c>
      <c r="X354" s="34">
        <f>9</f>
        <v>9</v>
      </c>
    </row>
    <row r="355" spans="1:24">
      <c r="A355" s="25" t="s">
        <v>1167</v>
      </c>
      <c r="B355" s="25" t="s">
        <v>845</v>
      </c>
      <c r="C355" s="25" t="s">
        <v>846</v>
      </c>
      <c r="D355" s="25" t="s">
        <v>847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</v>
      </c>
      <c r="K355" s="31">
        <f>1287</f>
        <v>1287</v>
      </c>
      <c r="L355" s="32" t="s">
        <v>1110</v>
      </c>
      <c r="M355" s="31">
        <f>1393</f>
        <v>1393</v>
      </c>
      <c r="N355" s="32" t="s">
        <v>1118</v>
      </c>
      <c r="O355" s="31">
        <f>1250</f>
        <v>1250</v>
      </c>
      <c r="P355" s="32" t="s">
        <v>1116</v>
      </c>
      <c r="Q355" s="31">
        <f>1343</f>
        <v>1343</v>
      </c>
      <c r="R355" s="32" t="s">
        <v>681</v>
      </c>
      <c r="S355" s="33">
        <f>1337.14</f>
        <v>1337.14</v>
      </c>
      <c r="T355" s="30">
        <f>6074</f>
        <v>6074</v>
      </c>
      <c r="U355" s="30" t="str">
        <f>"－"</f>
        <v>－</v>
      </c>
      <c r="V355" s="30">
        <f>8026076</f>
        <v>8026076</v>
      </c>
      <c r="W355" s="30" t="str">
        <f>"－"</f>
        <v>－</v>
      </c>
      <c r="X355" s="34">
        <f>21</f>
        <v>21</v>
      </c>
    </row>
    <row r="356" spans="1:24">
      <c r="A356" s="25" t="s">
        <v>1167</v>
      </c>
      <c r="B356" s="25" t="s">
        <v>848</v>
      </c>
      <c r="C356" s="25" t="s">
        <v>849</v>
      </c>
      <c r="D356" s="25" t="s">
        <v>850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1202</f>
        <v>1202</v>
      </c>
      <c r="L356" s="32" t="s">
        <v>1110</v>
      </c>
      <c r="M356" s="31">
        <f>1217</f>
        <v>1217</v>
      </c>
      <c r="N356" s="32" t="s">
        <v>1115</v>
      </c>
      <c r="O356" s="31">
        <f>1181</f>
        <v>1181</v>
      </c>
      <c r="P356" s="32" t="s">
        <v>760</v>
      </c>
      <c r="Q356" s="31">
        <f>1205</f>
        <v>1205</v>
      </c>
      <c r="R356" s="32" t="s">
        <v>681</v>
      </c>
      <c r="S356" s="33">
        <f>1203.71</f>
        <v>1203.71</v>
      </c>
      <c r="T356" s="30">
        <f>1958466</f>
        <v>1958466</v>
      </c>
      <c r="U356" s="30">
        <f>422998</f>
        <v>422998</v>
      </c>
      <c r="V356" s="30">
        <f>2346413182</f>
        <v>2346413182</v>
      </c>
      <c r="W356" s="30">
        <f>500888260</f>
        <v>500888260</v>
      </c>
      <c r="X356" s="34">
        <f>21</f>
        <v>21</v>
      </c>
    </row>
    <row r="357" spans="1:24">
      <c r="A357" s="25" t="s">
        <v>1167</v>
      </c>
      <c r="B357" s="25" t="s">
        <v>851</v>
      </c>
      <c r="C357" s="25" t="s">
        <v>852</v>
      </c>
      <c r="D357" s="25" t="s">
        <v>853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</v>
      </c>
      <c r="K357" s="31">
        <f>1027</f>
        <v>1027</v>
      </c>
      <c r="L357" s="32" t="s">
        <v>1110</v>
      </c>
      <c r="M357" s="31">
        <f>1040</f>
        <v>1040</v>
      </c>
      <c r="N357" s="32" t="s">
        <v>1118</v>
      </c>
      <c r="O357" s="31">
        <f>1016</f>
        <v>1016</v>
      </c>
      <c r="P357" s="32" t="s">
        <v>876</v>
      </c>
      <c r="Q357" s="31">
        <f>1030</f>
        <v>1030</v>
      </c>
      <c r="R357" s="32" t="s">
        <v>681</v>
      </c>
      <c r="S357" s="33">
        <f>1027.57</f>
        <v>1027.57</v>
      </c>
      <c r="T357" s="30">
        <f>639933</f>
        <v>639933</v>
      </c>
      <c r="U357" s="30">
        <f>2471</f>
        <v>2471</v>
      </c>
      <c r="V357" s="30">
        <f>657047613</f>
        <v>657047613</v>
      </c>
      <c r="W357" s="30">
        <f>2544053</f>
        <v>2544053</v>
      </c>
      <c r="X357" s="34">
        <f>21</f>
        <v>21</v>
      </c>
    </row>
    <row r="358" spans="1:24">
      <c r="A358" s="25" t="s">
        <v>1167</v>
      </c>
      <c r="B358" s="25" t="s">
        <v>858</v>
      </c>
      <c r="C358" s="25" t="s">
        <v>859</v>
      </c>
      <c r="D358" s="25" t="s">
        <v>860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</v>
      </c>
      <c r="K358" s="31">
        <f>1174</f>
        <v>1174</v>
      </c>
      <c r="L358" s="32" t="s">
        <v>1110</v>
      </c>
      <c r="M358" s="31">
        <f>1242</f>
        <v>1242</v>
      </c>
      <c r="N358" s="32" t="s">
        <v>760</v>
      </c>
      <c r="O358" s="31">
        <f>1145</f>
        <v>1145</v>
      </c>
      <c r="P358" s="32" t="s">
        <v>1116</v>
      </c>
      <c r="Q358" s="31">
        <f>1223</f>
        <v>1223</v>
      </c>
      <c r="R358" s="32" t="s">
        <v>681</v>
      </c>
      <c r="S358" s="33">
        <f>1204.29</f>
        <v>1204.29</v>
      </c>
      <c r="T358" s="30">
        <f>11438</f>
        <v>11438</v>
      </c>
      <c r="U358" s="30" t="str">
        <f>"－"</f>
        <v>－</v>
      </c>
      <c r="V358" s="30">
        <f>13800256</f>
        <v>13800256</v>
      </c>
      <c r="W358" s="30" t="str">
        <f>"－"</f>
        <v>－</v>
      </c>
      <c r="X358" s="34">
        <f>21</f>
        <v>21</v>
      </c>
    </row>
    <row r="359" spans="1:24">
      <c r="A359" s="25" t="s">
        <v>1167</v>
      </c>
      <c r="B359" s="25" t="s">
        <v>861</v>
      </c>
      <c r="C359" s="25" t="s">
        <v>862</v>
      </c>
      <c r="D359" s="25" t="s">
        <v>863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</v>
      </c>
      <c r="K359" s="31">
        <f>1089</f>
        <v>1089</v>
      </c>
      <c r="L359" s="32" t="s">
        <v>1110</v>
      </c>
      <c r="M359" s="31">
        <f>1152</f>
        <v>1152</v>
      </c>
      <c r="N359" s="32" t="s">
        <v>1110</v>
      </c>
      <c r="O359" s="31">
        <f>1067</f>
        <v>1067</v>
      </c>
      <c r="P359" s="32" t="s">
        <v>760</v>
      </c>
      <c r="Q359" s="31">
        <f>1083</f>
        <v>1083</v>
      </c>
      <c r="R359" s="32" t="s">
        <v>681</v>
      </c>
      <c r="S359" s="33">
        <f>1088.05</f>
        <v>1088.05</v>
      </c>
      <c r="T359" s="30">
        <f>295736</f>
        <v>295736</v>
      </c>
      <c r="U359" s="30" t="str">
        <f>"－"</f>
        <v>－</v>
      </c>
      <c r="V359" s="30">
        <f>321319369</f>
        <v>321319369</v>
      </c>
      <c r="W359" s="30" t="str">
        <f>"－"</f>
        <v>－</v>
      </c>
      <c r="X359" s="34">
        <f>21</f>
        <v>21</v>
      </c>
    </row>
    <row r="360" spans="1:24">
      <c r="A360" s="25" t="s">
        <v>1167</v>
      </c>
      <c r="B360" s="25" t="s">
        <v>864</v>
      </c>
      <c r="C360" s="25" t="s">
        <v>865</v>
      </c>
      <c r="D360" s="25" t="s">
        <v>950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</v>
      </c>
      <c r="K360" s="31">
        <f>35240</f>
        <v>35240</v>
      </c>
      <c r="L360" s="32" t="s">
        <v>1110</v>
      </c>
      <c r="M360" s="31">
        <f>41260</f>
        <v>41260</v>
      </c>
      <c r="N360" s="32" t="s">
        <v>778</v>
      </c>
      <c r="O360" s="31">
        <f>35190</f>
        <v>35190</v>
      </c>
      <c r="P360" s="32" t="s">
        <v>1110</v>
      </c>
      <c r="Q360" s="31">
        <f>39390</f>
        <v>39390</v>
      </c>
      <c r="R360" s="32" t="s">
        <v>681</v>
      </c>
      <c r="S360" s="33">
        <f>39149.52</f>
        <v>39149.519999999997</v>
      </c>
      <c r="T360" s="30">
        <f>247901</f>
        <v>247901</v>
      </c>
      <c r="U360" s="30">
        <f>695</f>
        <v>695</v>
      </c>
      <c r="V360" s="30">
        <f>9742542920</f>
        <v>9742542920</v>
      </c>
      <c r="W360" s="30">
        <f>27855280</f>
        <v>27855280</v>
      </c>
      <c r="X360" s="34">
        <f>21</f>
        <v>21</v>
      </c>
    </row>
    <row r="361" spans="1:24">
      <c r="A361" s="25" t="s">
        <v>1167</v>
      </c>
      <c r="B361" s="25" t="s">
        <v>866</v>
      </c>
      <c r="C361" s="25" t="s">
        <v>867</v>
      </c>
      <c r="D361" s="25" t="s">
        <v>951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</v>
      </c>
      <c r="K361" s="31">
        <f>26135</f>
        <v>26135</v>
      </c>
      <c r="L361" s="32" t="s">
        <v>1110</v>
      </c>
      <c r="M361" s="31">
        <f>26175</f>
        <v>26175</v>
      </c>
      <c r="N361" s="32" t="s">
        <v>1110</v>
      </c>
      <c r="O361" s="31">
        <f>22205</f>
        <v>22205</v>
      </c>
      <c r="P361" s="32" t="s">
        <v>778</v>
      </c>
      <c r="Q361" s="31">
        <f>23245</f>
        <v>23245</v>
      </c>
      <c r="R361" s="32" t="s">
        <v>681</v>
      </c>
      <c r="S361" s="33">
        <f>23489.52</f>
        <v>23489.52</v>
      </c>
      <c r="T361" s="30">
        <f>149101</f>
        <v>149101</v>
      </c>
      <c r="U361" s="30">
        <f>40</f>
        <v>40</v>
      </c>
      <c r="V361" s="30">
        <f>3532979420</f>
        <v>3532979420</v>
      </c>
      <c r="W361" s="30">
        <f>904650</f>
        <v>904650</v>
      </c>
      <c r="X361" s="34">
        <f>21</f>
        <v>21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CDF7-0369-4B52-B69B-59EF8C1CEA00}">
  <sheetPr>
    <pageSetUpPr fitToPage="1"/>
  </sheetPr>
  <dimension ref="A1:X361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1144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2966.5</f>
        <v>2966.5</v>
      </c>
      <c r="L7" s="32" t="s">
        <v>1110</v>
      </c>
      <c r="M7" s="31">
        <f>2972</f>
        <v>2972</v>
      </c>
      <c r="N7" s="32" t="s">
        <v>1110</v>
      </c>
      <c r="O7" s="31">
        <f>2774.5</f>
        <v>2774.5</v>
      </c>
      <c r="P7" s="32" t="s">
        <v>680</v>
      </c>
      <c r="Q7" s="31">
        <f>2928</f>
        <v>2928</v>
      </c>
      <c r="R7" s="32" t="s">
        <v>777</v>
      </c>
      <c r="S7" s="33">
        <f>2893.1</f>
        <v>2893.1</v>
      </c>
      <c r="T7" s="30">
        <f>13857760</f>
        <v>13857760</v>
      </c>
      <c r="U7" s="30">
        <f>9934850</f>
        <v>9934850</v>
      </c>
      <c r="V7" s="30">
        <f>40087589969</f>
        <v>40087589969</v>
      </c>
      <c r="W7" s="30">
        <f>28754821034</f>
        <v>28754821034</v>
      </c>
      <c r="X7" s="34">
        <f>21</f>
        <v>21</v>
      </c>
    </row>
    <row r="8" spans="1:24">
      <c r="A8" s="25" t="s">
        <v>1144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2938.5</f>
        <v>2938.5</v>
      </c>
      <c r="L8" s="32" t="s">
        <v>1110</v>
      </c>
      <c r="M8" s="31">
        <f>2940</f>
        <v>2940</v>
      </c>
      <c r="N8" s="32" t="s">
        <v>1110</v>
      </c>
      <c r="O8" s="31">
        <f>2744</f>
        <v>2744</v>
      </c>
      <c r="P8" s="32" t="s">
        <v>680</v>
      </c>
      <c r="Q8" s="31">
        <f>2893</f>
        <v>2893</v>
      </c>
      <c r="R8" s="32" t="s">
        <v>777</v>
      </c>
      <c r="S8" s="33">
        <f>2858.1</f>
        <v>2858.1</v>
      </c>
      <c r="T8" s="30">
        <f>62037400</f>
        <v>62037400</v>
      </c>
      <c r="U8" s="30">
        <f>15004740</f>
        <v>15004740</v>
      </c>
      <c r="V8" s="30">
        <f>177116280287</f>
        <v>177116280287</v>
      </c>
      <c r="W8" s="30">
        <f>42994698872</f>
        <v>42994698872</v>
      </c>
      <c r="X8" s="34">
        <f>21</f>
        <v>21</v>
      </c>
    </row>
    <row r="9" spans="1:24">
      <c r="A9" s="25" t="s">
        <v>1144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2900</f>
        <v>2900</v>
      </c>
      <c r="L9" s="32" t="s">
        <v>1110</v>
      </c>
      <c r="M9" s="31">
        <f>2907</f>
        <v>2907</v>
      </c>
      <c r="N9" s="32" t="s">
        <v>1110</v>
      </c>
      <c r="O9" s="31">
        <f>2713</f>
        <v>2713</v>
      </c>
      <c r="P9" s="32" t="s">
        <v>680</v>
      </c>
      <c r="Q9" s="31">
        <f>2863</f>
        <v>2863</v>
      </c>
      <c r="R9" s="32" t="s">
        <v>777</v>
      </c>
      <c r="S9" s="33">
        <f>2828.19</f>
        <v>2828.19</v>
      </c>
      <c r="T9" s="30">
        <f>103558092</f>
        <v>103558092</v>
      </c>
      <c r="U9" s="30">
        <f>56777359</f>
        <v>56777359</v>
      </c>
      <c r="V9" s="30">
        <f>292870711290</f>
        <v>292870711290</v>
      </c>
      <c r="W9" s="30">
        <f>161013418884</f>
        <v>161013418884</v>
      </c>
      <c r="X9" s="34">
        <f>21</f>
        <v>21</v>
      </c>
    </row>
    <row r="10" spans="1:24">
      <c r="A10" s="25" t="s">
        <v>1144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39080</f>
        <v>39080</v>
      </c>
      <c r="L10" s="32" t="s">
        <v>1110</v>
      </c>
      <c r="M10" s="31">
        <f>41580</f>
        <v>41580</v>
      </c>
      <c r="N10" s="32" t="s">
        <v>777</v>
      </c>
      <c r="O10" s="31">
        <f>38350</f>
        <v>38350</v>
      </c>
      <c r="P10" s="32" t="s">
        <v>875</v>
      </c>
      <c r="Q10" s="31">
        <f>41500</f>
        <v>41500</v>
      </c>
      <c r="R10" s="32" t="s">
        <v>777</v>
      </c>
      <c r="S10" s="33">
        <f>39659.52</f>
        <v>39659.519999999997</v>
      </c>
      <c r="T10" s="30">
        <f>10136</f>
        <v>10136</v>
      </c>
      <c r="U10" s="30" t="str">
        <f>"－"</f>
        <v>－</v>
      </c>
      <c r="V10" s="30">
        <f>404729990</f>
        <v>404729990</v>
      </c>
      <c r="W10" s="30" t="str">
        <f>"－"</f>
        <v>－</v>
      </c>
      <c r="X10" s="34">
        <f>21</f>
        <v>21</v>
      </c>
    </row>
    <row r="11" spans="1:24">
      <c r="A11" s="25" t="s">
        <v>1144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1472.5</f>
        <v>1472.5</v>
      </c>
      <c r="L11" s="32" t="s">
        <v>1110</v>
      </c>
      <c r="M11" s="31">
        <f>1475</f>
        <v>1475</v>
      </c>
      <c r="N11" s="32" t="s">
        <v>876</v>
      </c>
      <c r="O11" s="31">
        <f>1361.5</f>
        <v>1361.5</v>
      </c>
      <c r="P11" s="32" t="s">
        <v>680</v>
      </c>
      <c r="Q11" s="31">
        <f>1461</f>
        <v>1461</v>
      </c>
      <c r="R11" s="32" t="s">
        <v>777</v>
      </c>
      <c r="S11" s="33">
        <f>1432.98</f>
        <v>1432.98</v>
      </c>
      <c r="T11" s="30">
        <f>1036450</f>
        <v>1036450</v>
      </c>
      <c r="U11" s="30">
        <f>270940</f>
        <v>270940</v>
      </c>
      <c r="V11" s="30">
        <f>1479825045</f>
        <v>1479825045</v>
      </c>
      <c r="W11" s="30">
        <f>384696075</f>
        <v>384696075</v>
      </c>
      <c r="X11" s="34">
        <f>21</f>
        <v>21</v>
      </c>
    </row>
    <row r="12" spans="1:24">
      <c r="A12" s="25" t="s">
        <v>1144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498.6</f>
        <v>498.6</v>
      </c>
      <c r="L12" s="32" t="s">
        <v>1116</v>
      </c>
      <c r="M12" s="31">
        <f>515.6</f>
        <v>515.6</v>
      </c>
      <c r="N12" s="32" t="s">
        <v>674</v>
      </c>
      <c r="O12" s="31">
        <f>482.1</f>
        <v>482.1</v>
      </c>
      <c r="P12" s="32" t="s">
        <v>680</v>
      </c>
      <c r="Q12" s="31">
        <f>504.9</f>
        <v>504.9</v>
      </c>
      <c r="R12" s="32" t="s">
        <v>777</v>
      </c>
      <c r="S12" s="33">
        <f>498.83</f>
        <v>498.83</v>
      </c>
      <c r="T12" s="30">
        <f>131000</f>
        <v>131000</v>
      </c>
      <c r="U12" s="30">
        <f>1000</f>
        <v>1000</v>
      </c>
      <c r="V12" s="30">
        <f>65537900</f>
        <v>65537900</v>
      </c>
      <c r="W12" s="30">
        <f>496500</f>
        <v>496500</v>
      </c>
      <c r="X12" s="34">
        <f>18</f>
        <v>18</v>
      </c>
    </row>
    <row r="13" spans="1:24">
      <c r="A13" s="25" t="s">
        <v>1144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42330</f>
        <v>42330</v>
      </c>
      <c r="L13" s="32" t="s">
        <v>1110</v>
      </c>
      <c r="M13" s="31">
        <f>42380</f>
        <v>42380</v>
      </c>
      <c r="N13" s="32" t="s">
        <v>1110</v>
      </c>
      <c r="O13" s="31">
        <f>38240</f>
        <v>38240</v>
      </c>
      <c r="P13" s="32" t="s">
        <v>680</v>
      </c>
      <c r="Q13" s="31">
        <f>39920</f>
        <v>39920</v>
      </c>
      <c r="R13" s="32" t="s">
        <v>777</v>
      </c>
      <c r="S13" s="33">
        <f>40329.05</f>
        <v>40329.050000000003</v>
      </c>
      <c r="T13" s="30">
        <f>2073666</f>
        <v>2073666</v>
      </c>
      <c r="U13" s="30">
        <f>1257724</f>
        <v>1257724</v>
      </c>
      <c r="V13" s="30">
        <f>84036532591</f>
        <v>84036532591</v>
      </c>
      <c r="W13" s="30">
        <f>51286992361</f>
        <v>51286992361</v>
      </c>
      <c r="X13" s="34">
        <f>21</f>
        <v>21</v>
      </c>
    </row>
    <row r="14" spans="1:24">
      <c r="A14" s="25" t="s">
        <v>1144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42480</f>
        <v>42480</v>
      </c>
      <c r="L14" s="32" t="s">
        <v>1110</v>
      </c>
      <c r="M14" s="31">
        <f>42530</f>
        <v>42530</v>
      </c>
      <c r="N14" s="32" t="s">
        <v>1110</v>
      </c>
      <c r="O14" s="31">
        <f>38360</f>
        <v>38360</v>
      </c>
      <c r="P14" s="32" t="s">
        <v>680</v>
      </c>
      <c r="Q14" s="31">
        <f>40060</f>
        <v>40060</v>
      </c>
      <c r="R14" s="32" t="s">
        <v>777</v>
      </c>
      <c r="S14" s="33">
        <f>40469.05</f>
        <v>40469.050000000003</v>
      </c>
      <c r="T14" s="30">
        <f>11634062</f>
        <v>11634062</v>
      </c>
      <c r="U14" s="30">
        <f>1334651</f>
        <v>1334651</v>
      </c>
      <c r="V14" s="30">
        <f>470466794145</f>
        <v>470466794145</v>
      </c>
      <c r="W14" s="30">
        <f>54608471015</f>
        <v>54608471015</v>
      </c>
      <c r="X14" s="34">
        <f>21</f>
        <v>21</v>
      </c>
    </row>
    <row r="15" spans="1:24">
      <c r="A15" s="25" t="s">
        <v>1144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7570</f>
        <v>7570</v>
      </c>
      <c r="L15" s="32" t="s">
        <v>1110</v>
      </c>
      <c r="M15" s="31">
        <f>7999</f>
        <v>7999</v>
      </c>
      <c r="N15" s="32" t="s">
        <v>777</v>
      </c>
      <c r="O15" s="31">
        <f>7422</f>
        <v>7422</v>
      </c>
      <c r="P15" s="32" t="s">
        <v>684</v>
      </c>
      <c r="Q15" s="31">
        <f>7904</f>
        <v>7904</v>
      </c>
      <c r="R15" s="32" t="s">
        <v>777</v>
      </c>
      <c r="S15" s="33">
        <f>7641.57</f>
        <v>7641.57</v>
      </c>
      <c r="T15" s="30">
        <f>12970</f>
        <v>12970</v>
      </c>
      <c r="U15" s="30" t="str">
        <f>"－"</f>
        <v>－</v>
      </c>
      <c r="V15" s="30">
        <f>99534930</f>
        <v>99534930</v>
      </c>
      <c r="W15" s="30" t="str">
        <f>"－"</f>
        <v>－</v>
      </c>
      <c r="X15" s="34">
        <f>21</f>
        <v>21</v>
      </c>
    </row>
    <row r="16" spans="1:24">
      <c r="A16" s="25" t="s">
        <v>1144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1144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247</f>
        <v>247</v>
      </c>
      <c r="L17" s="32" t="s">
        <v>1110</v>
      </c>
      <c r="M17" s="31">
        <f>248</f>
        <v>248</v>
      </c>
      <c r="N17" s="32" t="s">
        <v>759</v>
      </c>
      <c r="O17" s="31">
        <f>227.1</f>
        <v>227.1</v>
      </c>
      <c r="P17" s="32" t="s">
        <v>777</v>
      </c>
      <c r="Q17" s="31">
        <f>243.5</f>
        <v>243.5</v>
      </c>
      <c r="R17" s="32" t="s">
        <v>777</v>
      </c>
      <c r="S17" s="33">
        <f>241.25</f>
        <v>241.25</v>
      </c>
      <c r="T17" s="30">
        <f>635400</f>
        <v>635400</v>
      </c>
      <c r="U17" s="30">
        <f>600</f>
        <v>600</v>
      </c>
      <c r="V17" s="30">
        <f>152889200</f>
        <v>152889200</v>
      </c>
      <c r="W17" s="30">
        <f>145200</f>
        <v>145200</v>
      </c>
      <c r="X17" s="34">
        <f>21</f>
        <v>21</v>
      </c>
    </row>
    <row r="18" spans="1:24">
      <c r="A18" s="25" t="s">
        <v>1144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32000</f>
        <v>32000</v>
      </c>
      <c r="L18" s="32" t="s">
        <v>1110</v>
      </c>
      <c r="M18" s="31">
        <f>34500</f>
        <v>34500</v>
      </c>
      <c r="N18" s="32" t="s">
        <v>680</v>
      </c>
      <c r="O18" s="31">
        <f>31500</f>
        <v>31500</v>
      </c>
      <c r="P18" s="32" t="s">
        <v>1110</v>
      </c>
      <c r="Q18" s="31">
        <f>33720</f>
        <v>33720</v>
      </c>
      <c r="R18" s="32" t="s">
        <v>777</v>
      </c>
      <c r="S18" s="33">
        <f>33182.38</f>
        <v>33182.379999999997</v>
      </c>
      <c r="T18" s="30">
        <f>502869</f>
        <v>502869</v>
      </c>
      <c r="U18" s="30">
        <f>50325</f>
        <v>50325</v>
      </c>
      <c r="V18" s="30">
        <f>16719206096</f>
        <v>16719206096</v>
      </c>
      <c r="W18" s="30">
        <f>1698259936</f>
        <v>1698259936</v>
      </c>
      <c r="X18" s="34">
        <f>21</f>
        <v>21</v>
      </c>
    </row>
    <row r="19" spans="1:24">
      <c r="A19" s="25" t="s">
        <v>1144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8489</f>
        <v>8489</v>
      </c>
      <c r="L19" s="32" t="s">
        <v>1110</v>
      </c>
      <c r="M19" s="31">
        <f>9140</f>
        <v>9140</v>
      </c>
      <c r="N19" s="32" t="s">
        <v>680</v>
      </c>
      <c r="O19" s="31">
        <f>8350</f>
        <v>8350</v>
      </c>
      <c r="P19" s="32" t="s">
        <v>1110</v>
      </c>
      <c r="Q19" s="31">
        <f>8934</f>
        <v>8934</v>
      </c>
      <c r="R19" s="32" t="s">
        <v>777</v>
      </c>
      <c r="S19" s="33">
        <f>8804.19</f>
        <v>8804.19</v>
      </c>
      <c r="T19" s="30">
        <f>1364570</f>
        <v>1364570</v>
      </c>
      <c r="U19" s="30">
        <f>114860</f>
        <v>114860</v>
      </c>
      <c r="V19" s="30">
        <f>12053230784</f>
        <v>12053230784</v>
      </c>
      <c r="W19" s="30">
        <f>1025857564</f>
        <v>1025857564</v>
      </c>
      <c r="X19" s="34">
        <f>21</f>
        <v>21</v>
      </c>
    </row>
    <row r="20" spans="1:24">
      <c r="A20" s="25" t="s">
        <v>1144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42380</f>
        <v>42380</v>
      </c>
      <c r="L20" s="32" t="s">
        <v>1110</v>
      </c>
      <c r="M20" s="31">
        <f>42420</f>
        <v>42420</v>
      </c>
      <c r="N20" s="32" t="s">
        <v>1110</v>
      </c>
      <c r="O20" s="31">
        <f>38260</f>
        <v>38260</v>
      </c>
      <c r="P20" s="32" t="s">
        <v>680</v>
      </c>
      <c r="Q20" s="31">
        <f>39970</f>
        <v>39970</v>
      </c>
      <c r="R20" s="32" t="s">
        <v>777</v>
      </c>
      <c r="S20" s="33">
        <f>40370.48</f>
        <v>40370.480000000003</v>
      </c>
      <c r="T20" s="30">
        <f>1462773</f>
        <v>1462773</v>
      </c>
      <c r="U20" s="30">
        <f>536474</f>
        <v>536474</v>
      </c>
      <c r="V20" s="30">
        <f>59161000256</f>
        <v>59161000256</v>
      </c>
      <c r="W20" s="30">
        <f>21916886166</f>
        <v>21916886166</v>
      </c>
      <c r="X20" s="34">
        <f>21</f>
        <v>21</v>
      </c>
    </row>
    <row r="21" spans="1:24">
      <c r="A21" s="25" t="s">
        <v>1144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42560</f>
        <v>42560</v>
      </c>
      <c r="L21" s="32" t="s">
        <v>1110</v>
      </c>
      <c r="M21" s="31">
        <f>42590</f>
        <v>42590</v>
      </c>
      <c r="N21" s="32" t="s">
        <v>1110</v>
      </c>
      <c r="O21" s="31">
        <f>38410</f>
        <v>38410</v>
      </c>
      <c r="P21" s="32" t="s">
        <v>680</v>
      </c>
      <c r="Q21" s="31">
        <f>40140</f>
        <v>40140</v>
      </c>
      <c r="R21" s="32" t="s">
        <v>777</v>
      </c>
      <c r="S21" s="33">
        <f>40525.71</f>
        <v>40525.71</v>
      </c>
      <c r="T21" s="30">
        <f>2697390</f>
        <v>2697390</v>
      </c>
      <c r="U21" s="30">
        <f>1823794</f>
        <v>1823794</v>
      </c>
      <c r="V21" s="30">
        <f>110022755979</f>
        <v>110022755979</v>
      </c>
      <c r="W21" s="30">
        <f>74743024939</f>
        <v>74743024939</v>
      </c>
      <c r="X21" s="34">
        <f>21</f>
        <v>21</v>
      </c>
    </row>
    <row r="22" spans="1:24">
      <c r="A22" s="25" t="s">
        <v>1144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1033</f>
        <v>1033</v>
      </c>
      <c r="L22" s="32" t="s">
        <v>1110</v>
      </c>
      <c r="M22" s="31">
        <f>1072</f>
        <v>1072</v>
      </c>
      <c r="N22" s="32" t="s">
        <v>777</v>
      </c>
      <c r="O22" s="31">
        <f>1028</f>
        <v>1028</v>
      </c>
      <c r="P22" s="32" t="s">
        <v>674</v>
      </c>
      <c r="Q22" s="31">
        <f>1071</f>
        <v>1071</v>
      </c>
      <c r="R22" s="32" t="s">
        <v>777</v>
      </c>
      <c r="S22" s="33">
        <f>1047.52</f>
        <v>1047.52</v>
      </c>
      <c r="T22" s="30">
        <f>7486647</f>
        <v>7486647</v>
      </c>
      <c r="U22" s="30">
        <f>7169001</f>
        <v>7169001</v>
      </c>
      <c r="V22" s="30">
        <f>7848718798</f>
        <v>7848718798</v>
      </c>
      <c r="W22" s="30">
        <f>7516363233</f>
        <v>7516363233</v>
      </c>
      <c r="X22" s="34">
        <f>21</f>
        <v>21</v>
      </c>
    </row>
    <row r="23" spans="1:24">
      <c r="A23" s="25" t="s">
        <v>1144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1950</f>
        <v>1950</v>
      </c>
      <c r="L23" s="32" t="s">
        <v>1110</v>
      </c>
      <c r="M23" s="31">
        <f>1969.5</f>
        <v>1969.5</v>
      </c>
      <c r="N23" s="32" t="s">
        <v>778</v>
      </c>
      <c r="O23" s="31">
        <f>1884.5</f>
        <v>1884.5</v>
      </c>
      <c r="P23" s="32" t="s">
        <v>674</v>
      </c>
      <c r="Q23" s="31">
        <f>1963.5</f>
        <v>1963.5</v>
      </c>
      <c r="R23" s="32" t="s">
        <v>777</v>
      </c>
      <c r="S23" s="33">
        <f>1933.33</f>
        <v>1933.33</v>
      </c>
      <c r="T23" s="30">
        <f>24412680</f>
        <v>24412680</v>
      </c>
      <c r="U23" s="30">
        <f>11046990</f>
        <v>11046990</v>
      </c>
      <c r="V23" s="30">
        <f>47104999441</f>
        <v>47104999441</v>
      </c>
      <c r="W23" s="30">
        <f>21365815901</f>
        <v>21365815901</v>
      </c>
      <c r="X23" s="34">
        <f>21</f>
        <v>21</v>
      </c>
    </row>
    <row r="24" spans="1:24">
      <c r="A24" s="25" t="s">
        <v>1144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1823</f>
        <v>1823</v>
      </c>
      <c r="L24" s="32" t="s">
        <v>1110</v>
      </c>
      <c r="M24" s="31">
        <f>1844</f>
        <v>1844</v>
      </c>
      <c r="N24" s="32" t="s">
        <v>778</v>
      </c>
      <c r="O24" s="31">
        <f>1766.5</f>
        <v>1766.5</v>
      </c>
      <c r="P24" s="32" t="s">
        <v>674</v>
      </c>
      <c r="Q24" s="31">
        <f>1837.5</f>
        <v>1837.5</v>
      </c>
      <c r="R24" s="32" t="s">
        <v>777</v>
      </c>
      <c r="S24" s="33">
        <f>1809.19</f>
        <v>1809.19</v>
      </c>
      <c r="T24" s="30">
        <f>4827400</f>
        <v>4827400</v>
      </c>
      <c r="U24" s="30">
        <f>2985700</f>
        <v>2985700</v>
      </c>
      <c r="V24" s="30">
        <f>8779106009</f>
        <v>8779106009</v>
      </c>
      <c r="W24" s="30">
        <f>5449077209</f>
        <v>5449077209</v>
      </c>
      <c r="X24" s="34">
        <f>21</f>
        <v>21</v>
      </c>
    </row>
    <row r="25" spans="1:24">
      <c r="A25" s="25" t="s">
        <v>1144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42280</f>
        <v>42280</v>
      </c>
      <c r="L25" s="32" t="s">
        <v>1110</v>
      </c>
      <c r="M25" s="31">
        <f>42330</f>
        <v>42330</v>
      </c>
      <c r="N25" s="32" t="s">
        <v>1110</v>
      </c>
      <c r="O25" s="31">
        <f>38180</f>
        <v>38180</v>
      </c>
      <c r="P25" s="32" t="s">
        <v>680</v>
      </c>
      <c r="Q25" s="31">
        <f>39870</f>
        <v>39870</v>
      </c>
      <c r="R25" s="32" t="s">
        <v>777</v>
      </c>
      <c r="S25" s="33">
        <f>40292.86</f>
        <v>40292.86</v>
      </c>
      <c r="T25" s="30">
        <f>1321162</f>
        <v>1321162</v>
      </c>
      <c r="U25" s="30">
        <f>608825</f>
        <v>608825</v>
      </c>
      <c r="V25" s="30">
        <f>53498545789</f>
        <v>53498545789</v>
      </c>
      <c r="W25" s="30">
        <f>24905513619</f>
        <v>24905513619</v>
      </c>
      <c r="X25" s="34">
        <f>21</f>
        <v>21</v>
      </c>
    </row>
    <row r="26" spans="1:24">
      <c r="A26" s="25" t="s">
        <v>1144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2901.5</f>
        <v>2901.5</v>
      </c>
      <c r="L26" s="32" t="s">
        <v>1110</v>
      </c>
      <c r="M26" s="31">
        <f>2906</f>
        <v>2906</v>
      </c>
      <c r="N26" s="32" t="s">
        <v>1110</v>
      </c>
      <c r="O26" s="31">
        <f>2713</f>
        <v>2713</v>
      </c>
      <c r="P26" s="32" t="s">
        <v>680</v>
      </c>
      <c r="Q26" s="31">
        <f>2864.5</f>
        <v>2864.5</v>
      </c>
      <c r="R26" s="32" t="s">
        <v>777</v>
      </c>
      <c r="S26" s="33">
        <f>2827.55</f>
        <v>2827.55</v>
      </c>
      <c r="T26" s="30">
        <f>9352570</f>
        <v>9352570</v>
      </c>
      <c r="U26" s="30">
        <f>5381970</f>
        <v>5381970</v>
      </c>
      <c r="V26" s="30">
        <f>26486516318</f>
        <v>26486516318</v>
      </c>
      <c r="W26" s="30">
        <f>15225232423</f>
        <v>15225232423</v>
      </c>
      <c r="X26" s="34">
        <f>21</f>
        <v>21</v>
      </c>
    </row>
    <row r="27" spans="1:24">
      <c r="A27" s="25" t="s">
        <v>1144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15920</f>
        <v>15920</v>
      </c>
      <c r="L27" s="32" t="s">
        <v>1110</v>
      </c>
      <c r="M27" s="31">
        <f>16375</f>
        <v>16375</v>
      </c>
      <c r="N27" s="32" t="s">
        <v>777</v>
      </c>
      <c r="O27" s="31">
        <f>15920</f>
        <v>15920</v>
      </c>
      <c r="P27" s="32" t="s">
        <v>1110</v>
      </c>
      <c r="Q27" s="31">
        <f>16310</f>
        <v>16310</v>
      </c>
      <c r="R27" s="32" t="s">
        <v>777</v>
      </c>
      <c r="S27" s="33">
        <f>16072.75</f>
        <v>16072.75</v>
      </c>
      <c r="T27" s="30">
        <f>727</f>
        <v>727</v>
      </c>
      <c r="U27" s="30" t="str">
        <f>"－"</f>
        <v>－</v>
      </c>
      <c r="V27" s="30">
        <f>11702990</f>
        <v>11702990</v>
      </c>
      <c r="W27" s="30" t="str">
        <f>"－"</f>
        <v>－</v>
      </c>
      <c r="X27" s="34">
        <f>20</f>
        <v>20</v>
      </c>
    </row>
    <row r="28" spans="1:24">
      <c r="A28" s="25" t="s">
        <v>1144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377</f>
        <v>377</v>
      </c>
      <c r="L28" s="32" t="s">
        <v>1110</v>
      </c>
      <c r="M28" s="31">
        <f>428.8</f>
        <v>428.8</v>
      </c>
      <c r="N28" s="32" t="s">
        <v>680</v>
      </c>
      <c r="O28" s="31">
        <f>375.8</f>
        <v>375.8</v>
      </c>
      <c r="P28" s="32" t="s">
        <v>1110</v>
      </c>
      <c r="Q28" s="31">
        <f>383.4</f>
        <v>383.4</v>
      </c>
      <c r="R28" s="32" t="s">
        <v>777</v>
      </c>
      <c r="S28" s="33">
        <f>396.26</f>
        <v>396.26</v>
      </c>
      <c r="T28" s="30">
        <f>47932120</f>
        <v>47932120</v>
      </c>
      <c r="U28" s="30">
        <f>664200</f>
        <v>664200</v>
      </c>
      <c r="V28" s="30">
        <f>19084018713</f>
        <v>19084018713</v>
      </c>
      <c r="W28" s="30">
        <f>251822522</f>
        <v>251822522</v>
      </c>
      <c r="X28" s="34">
        <f>21</f>
        <v>21</v>
      </c>
    </row>
    <row r="29" spans="1:24">
      <c r="A29" s="25" t="s">
        <v>1144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135</f>
        <v>135</v>
      </c>
      <c r="L29" s="32" t="s">
        <v>1110</v>
      </c>
      <c r="M29" s="31">
        <f>165</f>
        <v>165</v>
      </c>
      <c r="N29" s="32" t="s">
        <v>680</v>
      </c>
      <c r="O29" s="31">
        <f>134</f>
        <v>134</v>
      </c>
      <c r="P29" s="32" t="s">
        <v>1110</v>
      </c>
      <c r="Q29" s="31">
        <f>150</f>
        <v>150</v>
      </c>
      <c r="R29" s="32" t="s">
        <v>777</v>
      </c>
      <c r="S29" s="33">
        <f>148.57</f>
        <v>148.57</v>
      </c>
      <c r="T29" s="30">
        <f>1435626406</f>
        <v>1435626406</v>
      </c>
      <c r="U29" s="30">
        <f>5408160</f>
        <v>5408160</v>
      </c>
      <c r="V29" s="30">
        <f>214501032134</f>
        <v>214501032134</v>
      </c>
      <c r="W29" s="30">
        <f>813149818</f>
        <v>813149818</v>
      </c>
      <c r="X29" s="34">
        <f>21</f>
        <v>21</v>
      </c>
    </row>
    <row r="30" spans="1:24">
      <c r="A30" s="25" t="s">
        <v>1144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58300</f>
        <v>58300</v>
      </c>
      <c r="L30" s="32" t="s">
        <v>1110</v>
      </c>
      <c r="M30" s="31">
        <f>58350</f>
        <v>58350</v>
      </c>
      <c r="N30" s="32" t="s">
        <v>1110</v>
      </c>
      <c r="O30" s="31">
        <f>47250</f>
        <v>47250</v>
      </c>
      <c r="P30" s="32" t="s">
        <v>680</v>
      </c>
      <c r="Q30" s="31">
        <f>51540</f>
        <v>51540</v>
      </c>
      <c r="R30" s="32" t="s">
        <v>777</v>
      </c>
      <c r="S30" s="33">
        <f>52726.67</f>
        <v>52726.67</v>
      </c>
      <c r="T30" s="30">
        <f>435493</f>
        <v>435493</v>
      </c>
      <c r="U30" s="30">
        <f>71</f>
        <v>71</v>
      </c>
      <c r="V30" s="30">
        <f>22897337560</f>
        <v>22897337560</v>
      </c>
      <c r="W30" s="30">
        <f>3634850</f>
        <v>3634850</v>
      </c>
      <c r="X30" s="34">
        <f>21</f>
        <v>21</v>
      </c>
    </row>
    <row r="31" spans="1:24">
      <c r="A31" s="25" t="s">
        <v>1144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330.2</f>
        <v>330.2</v>
      </c>
      <c r="L31" s="32" t="s">
        <v>1110</v>
      </c>
      <c r="M31" s="31">
        <f>401.5</f>
        <v>401.5</v>
      </c>
      <c r="N31" s="32" t="s">
        <v>680</v>
      </c>
      <c r="O31" s="31">
        <f>329.6</f>
        <v>329.6</v>
      </c>
      <c r="P31" s="32" t="s">
        <v>1110</v>
      </c>
      <c r="Q31" s="31">
        <f>366.8</f>
        <v>366.8</v>
      </c>
      <c r="R31" s="32" t="s">
        <v>777</v>
      </c>
      <c r="S31" s="33">
        <f>362.67</f>
        <v>362.67</v>
      </c>
      <c r="T31" s="30">
        <f>646655080</f>
        <v>646655080</v>
      </c>
      <c r="U31" s="30">
        <f>1219920</f>
        <v>1219920</v>
      </c>
      <c r="V31" s="30">
        <f>236253793024</f>
        <v>236253793024</v>
      </c>
      <c r="W31" s="30">
        <f>451819087</f>
        <v>451819087</v>
      </c>
      <c r="X31" s="34">
        <f>21</f>
        <v>21</v>
      </c>
    </row>
    <row r="32" spans="1:24">
      <c r="A32" s="25" t="s">
        <v>1144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25935</f>
        <v>25935</v>
      </c>
      <c r="L32" s="32" t="s">
        <v>1110</v>
      </c>
      <c r="M32" s="31">
        <f>25935</f>
        <v>25935</v>
      </c>
      <c r="N32" s="32" t="s">
        <v>1110</v>
      </c>
      <c r="O32" s="31">
        <f>24235</f>
        <v>24235</v>
      </c>
      <c r="P32" s="32" t="s">
        <v>680</v>
      </c>
      <c r="Q32" s="31">
        <f>25550</f>
        <v>25550</v>
      </c>
      <c r="R32" s="32" t="s">
        <v>777</v>
      </c>
      <c r="S32" s="33">
        <f>25245.95</f>
        <v>25245.95</v>
      </c>
      <c r="T32" s="30">
        <f>45067</f>
        <v>45067</v>
      </c>
      <c r="U32" s="30">
        <f>17830</f>
        <v>17830</v>
      </c>
      <c r="V32" s="30">
        <f>1139186370</f>
        <v>1139186370</v>
      </c>
      <c r="W32" s="30">
        <f>451144700</f>
        <v>451144700</v>
      </c>
      <c r="X32" s="34">
        <f>21</f>
        <v>21</v>
      </c>
    </row>
    <row r="33" spans="1:24">
      <c r="A33" s="25" t="s">
        <v>1144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48360</f>
        <v>48360</v>
      </c>
      <c r="L33" s="32" t="s">
        <v>1110</v>
      </c>
      <c r="M33" s="31">
        <f>48430</f>
        <v>48430</v>
      </c>
      <c r="N33" s="32" t="s">
        <v>1110</v>
      </c>
      <c r="O33" s="31">
        <f>39250</f>
        <v>39250</v>
      </c>
      <c r="P33" s="32" t="s">
        <v>680</v>
      </c>
      <c r="Q33" s="31">
        <f>42770</f>
        <v>42770</v>
      </c>
      <c r="R33" s="32" t="s">
        <v>777</v>
      </c>
      <c r="S33" s="33">
        <f>43776.67</f>
        <v>43776.67</v>
      </c>
      <c r="T33" s="30">
        <f>1137929</f>
        <v>1137929</v>
      </c>
      <c r="U33" s="30">
        <f>5903</f>
        <v>5903</v>
      </c>
      <c r="V33" s="30">
        <f>49350304802</f>
        <v>49350304802</v>
      </c>
      <c r="W33" s="30">
        <f>245900622</f>
        <v>245900622</v>
      </c>
      <c r="X33" s="34">
        <f>21</f>
        <v>21</v>
      </c>
    </row>
    <row r="34" spans="1:24">
      <c r="A34" s="25" t="s">
        <v>1144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352</f>
        <v>352</v>
      </c>
      <c r="L34" s="32" t="s">
        <v>1110</v>
      </c>
      <c r="M34" s="31">
        <f>427</f>
        <v>427</v>
      </c>
      <c r="N34" s="32" t="s">
        <v>680</v>
      </c>
      <c r="O34" s="31">
        <f>351</f>
        <v>351</v>
      </c>
      <c r="P34" s="32" t="s">
        <v>1110</v>
      </c>
      <c r="Q34" s="31">
        <f>389</f>
        <v>389</v>
      </c>
      <c r="R34" s="32" t="s">
        <v>777</v>
      </c>
      <c r="S34" s="33">
        <f>385.71</f>
        <v>385.71</v>
      </c>
      <c r="T34" s="30">
        <f>35743974</f>
        <v>35743974</v>
      </c>
      <c r="U34" s="30">
        <f>98918</f>
        <v>98918</v>
      </c>
      <c r="V34" s="30">
        <f>14066308558</f>
        <v>14066308558</v>
      </c>
      <c r="W34" s="30">
        <f>38965940</f>
        <v>38965940</v>
      </c>
      <c r="X34" s="34">
        <f>21</f>
        <v>21</v>
      </c>
    </row>
    <row r="35" spans="1:24">
      <c r="A35" s="25" t="s">
        <v>1144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39510</f>
        <v>39510</v>
      </c>
      <c r="L35" s="32" t="s">
        <v>1110</v>
      </c>
      <c r="M35" s="31">
        <f>39600</f>
        <v>39600</v>
      </c>
      <c r="N35" s="32" t="s">
        <v>1110</v>
      </c>
      <c r="O35" s="31">
        <f>34390</f>
        <v>34390</v>
      </c>
      <c r="P35" s="32" t="s">
        <v>680</v>
      </c>
      <c r="Q35" s="31">
        <f>38260</f>
        <v>38260</v>
      </c>
      <c r="R35" s="32" t="s">
        <v>777</v>
      </c>
      <c r="S35" s="33">
        <f>37396.19</f>
        <v>37396.19</v>
      </c>
      <c r="T35" s="30">
        <f>202119</f>
        <v>202119</v>
      </c>
      <c r="U35" s="30">
        <f>579</f>
        <v>579</v>
      </c>
      <c r="V35" s="30">
        <f>7541278805</f>
        <v>7541278805</v>
      </c>
      <c r="W35" s="30">
        <f>21510405</f>
        <v>21510405</v>
      </c>
      <c r="X35" s="34">
        <f>21</f>
        <v>21</v>
      </c>
    </row>
    <row r="36" spans="1:24">
      <c r="A36" s="25" t="s">
        <v>1144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547</f>
        <v>547</v>
      </c>
      <c r="L36" s="32" t="s">
        <v>1110</v>
      </c>
      <c r="M36" s="31">
        <f>623</f>
        <v>623</v>
      </c>
      <c r="N36" s="32" t="s">
        <v>680</v>
      </c>
      <c r="O36" s="31">
        <f>546</f>
        <v>546</v>
      </c>
      <c r="P36" s="32" t="s">
        <v>1110</v>
      </c>
      <c r="Q36" s="31">
        <f>558</f>
        <v>558</v>
      </c>
      <c r="R36" s="32" t="s">
        <v>777</v>
      </c>
      <c r="S36" s="33">
        <f>575.71</f>
        <v>575.71</v>
      </c>
      <c r="T36" s="30">
        <f>2776423</f>
        <v>2776423</v>
      </c>
      <c r="U36" s="30">
        <f>2747</f>
        <v>2747</v>
      </c>
      <c r="V36" s="30">
        <f>1615944623</f>
        <v>1615944623</v>
      </c>
      <c r="W36" s="30">
        <f>1628742</f>
        <v>1628742</v>
      </c>
      <c r="X36" s="34">
        <f>21</f>
        <v>21</v>
      </c>
    </row>
    <row r="37" spans="1:24">
      <c r="A37" s="25" t="s">
        <v>1144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41030</f>
        <v>41030</v>
      </c>
      <c r="L37" s="32" t="s">
        <v>1110</v>
      </c>
      <c r="M37" s="31">
        <f>41050</f>
        <v>41050</v>
      </c>
      <c r="N37" s="32" t="s">
        <v>1110</v>
      </c>
      <c r="O37" s="31">
        <f>37090</f>
        <v>37090</v>
      </c>
      <c r="P37" s="32" t="s">
        <v>680</v>
      </c>
      <c r="Q37" s="31">
        <f>38520</f>
        <v>38520</v>
      </c>
      <c r="R37" s="32" t="s">
        <v>777</v>
      </c>
      <c r="S37" s="33">
        <f>39064.29</f>
        <v>39064.29</v>
      </c>
      <c r="T37" s="30">
        <f>213716</f>
        <v>213716</v>
      </c>
      <c r="U37" s="30">
        <f>84588</f>
        <v>84588</v>
      </c>
      <c r="V37" s="30">
        <f>8347357576</f>
        <v>8347357576</v>
      </c>
      <c r="W37" s="30">
        <f>3345919026</f>
        <v>3345919026</v>
      </c>
      <c r="X37" s="34">
        <f>21</f>
        <v>21</v>
      </c>
    </row>
    <row r="38" spans="1:24">
      <c r="A38" s="25" t="s">
        <v>1144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41450</f>
        <v>41450</v>
      </c>
      <c r="L38" s="32" t="s">
        <v>1110</v>
      </c>
      <c r="M38" s="31">
        <f>41450</f>
        <v>41450</v>
      </c>
      <c r="N38" s="32" t="s">
        <v>1110</v>
      </c>
      <c r="O38" s="31">
        <f>37130</f>
        <v>37130</v>
      </c>
      <c r="P38" s="32" t="s">
        <v>680</v>
      </c>
      <c r="Q38" s="31">
        <f>38770</f>
        <v>38770</v>
      </c>
      <c r="R38" s="32" t="s">
        <v>777</v>
      </c>
      <c r="S38" s="33">
        <f>39195.71</f>
        <v>39195.71</v>
      </c>
      <c r="T38" s="30">
        <f>242205</f>
        <v>242205</v>
      </c>
      <c r="U38" s="30">
        <f>110404</f>
        <v>110404</v>
      </c>
      <c r="V38" s="30">
        <f>9509997756</f>
        <v>9509997756</v>
      </c>
      <c r="W38" s="30">
        <f>4331379436</f>
        <v>4331379436</v>
      </c>
      <c r="X38" s="34">
        <f>21</f>
        <v>21</v>
      </c>
    </row>
    <row r="39" spans="1:24">
      <c r="A39" s="25" t="s">
        <v>1144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1839.5</f>
        <v>1839.5</v>
      </c>
      <c r="L39" s="32" t="s">
        <v>1110</v>
      </c>
      <c r="M39" s="31">
        <f>1864</f>
        <v>1864</v>
      </c>
      <c r="N39" s="32" t="s">
        <v>778</v>
      </c>
      <c r="O39" s="31">
        <f>1787</f>
        <v>1787</v>
      </c>
      <c r="P39" s="32" t="s">
        <v>1145</v>
      </c>
      <c r="Q39" s="31">
        <f>1858</f>
        <v>1858</v>
      </c>
      <c r="R39" s="32" t="s">
        <v>777</v>
      </c>
      <c r="S39" s="33">
        <f>1830.4</f>
        <v>1830.4</v>
      </c>
      <c r="T39" s="30">
        <f>1221000</f>
        <v>1221000</v>
      </c>
      <c r="U39" s="30">
        <f>265000</f>
        <v>265000</v>
      </c>
      <c r="V39" s="30">
        <f>2226556858</f>
        <v>2226556858</v>
      </c>
      <c r="W39" s="30">
        <f>486296893</f>
        <v>486296893</v>
      </c>
      <c r="X39" s="34">
        <f>21</f>
        <v>21</v>
      </c>
    </row>
    <row r="40" spans="1:24">
      <c r="A40" s="25" t="s">
        <v>1144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2243</f>
        <v>2243</v>
      </c>
      <c r="L40" s="32" t="s">
        <v>1110</v>
      </c>
      <c r="M40" s="31">
        <f>2243</f>
        <v>2243</v>
      </c>
      <c r="N40" s="32" t="s">
        <v>1110</v>
      </c>
      <c r="O40" s="31">
        <f>2140</f>
        <v>2140</v>
      </c>
      <c r="P40" s="32" t="s">
        <v>680</v>
      </c>
      <c r="Q40" s="31">
        <f>2224.5</f>
        <v>2224.5</v>
      </c>
      <c r="R40" s="32" t="s">
        <v>777</v>
      </c>
      <c r="S40" s="33">
        <f>2196.17</f>
        <v>2196.17</v>
      </c>
      <c r="T40" s="30">
        <f>260360</f>
        <v>260360</v>
      </c>
      <c r="U40" s="30">
        <f>220030</f>
        <v>220030</v>
      </c>
      <c r="V40" s="30">
        <f>572482410</f>
        <v>572482410</v>
      </c>
      <c r="W40" s="30">
        <f>483912040</f>
        <v>483912040</v>
      </c>
      <c r="X40" s="34">
        <f>21</f>
        <v>21</v>
      </c>
    </row>
    <row r="41" spans="1:24">
      <c r="A41" s="25" t="s">
        <v>1144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1989</f>
        <v>1989</v>
      </c>
      <c r="L41" s="32" t="s">
        <v>1110</v>
      </c>
      <c r="M41" s="31">
        <f>2048</f>
        <v>2048</v>
      </c>
      <c r="N41" s="32" t="s">
        <v>676</v>
      </c>
      <c r="O41" s="31">
        <f>1984</f>
        <v>1984</v>
      </c>
      <c r="P41" s="32" t="s">
        <v>1110</v>
      </c>
      <c r="Q41" s="31">
        <f>2035</f>
        <v>2035</v>
      </c>
      <c r="R41" s="32" t="s">
        <v>777</v>
      </c>
      <c r="S41" s="33">
        <f>2023</f>
        <v>2023</v>
      </c>
      <c r="T41" s="30">
        <f>172266</f>
        <v>172266</v>
      </c>
      <c r="U41" s="30" t="str">
        <f>"－"</f>
        <v>－</v>
      </c>
      <c r="V41" s="30">
        <f>345430638</f>
        <v>345430638</v>
      </c>
      <c r="W41" s="30" t="str">
        <f>"－"</f>
        <v>－</v>
      </c>
      <c r="X41" s="34">
        <f>21</f>
        <v>21</v>
      </c>
    </row>
    <row r="42" spans="1:24">
      <c r="A42" s="25" t="s">
        <v>1144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2568</f>
        <v>2568</v>
      </c>
      <c r="L42" s="32" t="s">
        <v>1110</v>
      </c>
      <c r="M42" s="31">
        <f>2834</f>
        <v>2834</v>
      </c>
      <c r="N42" s="32" t="s">
        <v>680</v>
      </c>
      <c r="O42" s="31">
        <f>2566</f>
        <v>2566</v>
      </c>
      <c r="P42" s="32" t="s">
        <v>1110</v>
      </c>
      <c r="Q42" s="31">
        <f>2712</f>
        <v>2712</v>
      </c>
      <c r="R42" s="32" t="s">
        <v>777</v>
      </c>
      <c r="S42" s="33">
        <f>2693.29</f>
        <v>2693.29</v>
      </c>
      <c r="T42" s="30">
        <f>7343118</f>
        <v>7343118</v>
      </c>
      <c r="U42" s="30">
        <f>3708555</f>
        <v>3708555</v>
      </c>
      <c r="V42" s="30">
        <f>19501515349</f>
        <v>19501515349</v>
      </c>
      <c r="W42" s="30">
        <f>9665797139</f>
        <v>9665797139</v>
      </c>
      <c r="X42" s="34">
        <f>21</f>
        <v>21</v>
      </c>
    </row>
    <row r="43" spans="1:24">
      <c r="A43" s="25" t="s">
        <v>1144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3135</f>
        <v>3135</v>
      </c>
      <c r="L43" s="32" t="s">
        <v>1110</v>
      </c>
      <c r="M43" s="31">
        <f>3340</f>
        <v>3340</v>
      </c>
      <c r="N43" s="32" t="s">
        <v>680</v>
      </c>
      <c r="O43" s="31">
        <f>3130</f>
        <v>3130</v>
      </c>
      <c r="P43" s="32" t="s">
        <v>1110</v>
      </c>
      <c r="Q43" s="31">
        <f>3175</f>
        <v>3175</v>
      </c>
      <c r="R43" s="32" t="s">
        <v>777</v>
      </c>
      <c r="S43" s="33">
        <f>3211.19</f>
        <v>3211.19</v>
      </c>
      <c r="T43" s="30">
        <f>3375761</f>
        <v>3375761</v>
      </c>
      <c r="U43" s="30">
        <f>2981991</f>
        <v>2981991</v>
      </c>
      <c r="V43" s="30">
        <f>10779941737</f>
        <v>10779941737</v>
      </c>
      <c r="W43" s="30">
        <f>9513264502</f>
        <v>9513264502</v>
      </c>
      <c r="X43" s="34">
        <f>21</f>
        <v>21</v>
      </c>
    </row>
    <row r="44" spans="1:24">
      <c r="A44" s="25" t="s">
        <v>1144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36940</f>
        <v>36940</v>
      </c>
      <c r="L44" s="32" t="s">
        <v>1110</v>
      </c>
      <c r="M44" s="31">
        <f>36980</f>
        <v>36980</v>
      </c>
      <c r="N44" s="32" t="s">
        <v>1110</v>
      </c>
      <c r="O44" s="31">
        <f>29965</f>
        <v>29965</v>
      </c>
      <c r="P44" s="32" t="s">
        <v>680</v>
      </c>
      <c r="Q44" s="31">
        <f>32700</f>
        <v>32700</v>
      </c>
      <c r="R44" s="32" t="s">
        <v>777</v>
      </c>
      <c r="S44" s="33">
        <f>33440.95</f>
        <v>33440.949999999997</v>
      </c>
      <c r="T44" s="30">
        <f>6774071</f>
        <v>6774071</v>
      </c>
      <c r="U44" s="30">
        <f>19688</f>
        <v>19688</v>
      </c>
      <c r="V44" s="30">
        <f>225575439730</f>
        <v>225575439730</v>
      </c>
      <c r="W44" s="30">
        <f>635537840</f>
        <v>635537840</v>
      </c>
      <c r="X44" s="34">
        <f>21</f>
        <v>21</v>
      </c>
    </row>
    <row r="45" spans="1:24">
      <c r="A45" s="25" t="s">
        <v>1144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544</f>
        <v>544</v>
      </c>
      <c r="L45" s="32" t="s">
        <v>1110</v>
      </c>
      <c r="M45" s="31">
        <f>662</f>
        <v>662</v>
      </c>
      <c r="N45" s="32" t="s">
        <v>680</v>
      </c>
      <c r="O45" s="31">
        <f>543</f>
        <v>543</v>
      </c>
      <c r="P45" s="32" t="s">
        <v>1110</v>
      </c>
      <c r="Q45" s="31">
        <f>606</f>
        <v>606</v>
      </c>
      <c r="R45" s="32" t="s">
        <v>777</v>
      </c>
      <c r="S45" s="33">
        <f>598.67</f>
        <v>598.66999999999996</v>
      </c>
      <c r="T45" s="30">
        <f>278701598</f>
        <v>278701598</v>
      </c>
      <c r="U45" s="30">
        <f>5712444</f>
        <v>5712444</v>
      </c>
      <c r="V45" s="30">
        <f>168092650781</f>
        <v>168092650781</v>
      </c>
      <c r="W45" s="30">
        <f>3164543928</f>
        <v>3164543928</v>
      </c>
      <c r="X45" s="34">
        <f>21</f>
        <v>21</v>
      </c>
    </row>
    <row r="46" spans="1:24">
      <c r="A46" s="25" t="s">
        <v>1144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31740</f>
        <v>31740</v>
      </c>
      <c r="L46" s="32" t="s">
        <v>1110</v>
      </c>
      <c r="M46" s="31">
        <f>31740</f>
        <v>31740</v>
      </c>
      <c r="N46" s="32" t="s">
        <v>1110</v>
      </c>
      <c r="O46" s="31">
        <f>27790</f>
        <v>27790</v>
      </c>
      <c r="P46" s="32" t="s">
        <v>680</v>
      </c>
      <c r="Q46" s="31">
        <f>30600</f>
        <v>30600</v>
      </c>
      <c r="R46" s="32" t="s">
        <v>777</v>
      </c>
      <c r="S46" s="33">
        <f>30130</f>
        <v>30130</v>
      </c>
      <c r="T46" s="30">
        <f>7184</f>
        <v>7184</v>
      </c>
      <c r="U46" s="30" t="str">
        <f>"－"</f>
        <v>－</v>
      </c>
      <c r="V46" s="30">
        <f>215543930</f>
        <v>215543930</v>
      </c>
      <c r="W46" s="30" t="str">
        <f>"－"</f>
        <v>－</v>
      </c>
      <c r="X46" s="34">
        <f>21</f>
        <v>21</v>
      </c>
    </row>
    <row r="47" spans="1:24">
      <c r="A47" s="25" t="s">
        <v>1144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3100</f>
        <v>3100</v>
      </c>
      <c r="L47" s="32" t="s">
        <v>1116</v>
      </c>
      <c r="M47" s="31">
        <f>3220</f>
        <v>3220</v>
      </c>
      <c r="N47" s="32" t="s">
        <v>680</v>
      </c>
      <c r="O47" s="31">
        <f>3040</f>
        <v>3040</v>
      </c>
      <c r="P47" s="32" t="s">
        <v>777</v>
      </c>
      <c r="Q47" s="31">
        <f>3065</f>
        <v>3065</v>
      </c>
      <c r="R47" s="32" t="s">
        <v>777</v>
      </c>
      <c r="S47" s="33">
        <f>3116.15</f>
        <v>3116.15</v>
      </c>
      <c r="T47" s="30">
        <f>161</f>
        <v>161</v>
      </c>
      <c r="U47" s="30" t="str">
        <f>"－"</f>
        <v>－</v>
      </c>
      <c r="V47" s="30">
        <f>498530</f>
        <v>498530</v>
      </c>
      <c r="W47" s="30" t="str">
        <f>"－"</f>
        <v>－</v>
      </c>
      <c r="X47" s="34">
        <f>13</f>
        <v>13</v>
      </c>
    </row>
    <row r="48" spans="1:24">
      <c r="A48" s="25" t="s">
        <v>1144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698</f>
        <v>698</v>
      </c>
      <c r="L48" s="32" t="s">
        <v>1110</v>
      </c>
      <c r="M48" s="31">
        <f>800</f>
        <v>800</v>
      </c>
      <c r="N48" s="32" t="s">
        <v>674</v>
      </c>
      <c r="O48" s="31">
        <f>682</f>
        <v>682</v>
      </c>
      <c r="P48" s="32" t="s">
        <v>875</v>
      </c>
      <c r="Q48" s="31">
        <f>710</f>
        <v>710</v>
      </c>
      <c r="R48" s="32" t="s">
        <v>777</v>
      </c>
      <c r="S48" s="33">
        <f>731.9</f>
        <v>731.9</v>
      </c>
      <c r="T48" s="30">
        <f>89931</f>
        <v>89931</v>
      </c>
      <c r="U48" s="30" t="str">
        <f>"－"</f>
        <v>－</v>
      </c>
      <c r="V48" s="30">
        <f>67226849</f>
        <v>67226849</v>
      </c>
      <c r="W48" s="30" t="str">
        <f>"－"</f>
        <v>－</v>
      </c>
      <c r="X48" s="34">
        <f>21</f>
        <v>21</v>
      </c>
    </row>
    <row r="49" spans="1:24">
      <c r="A49" s="25" t="s">
        <v>1144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689.7</f>
        <v>689.7</v>
      </c>
      <c r="L49" s="32" t="s">
        <v>1110</v>
      </c>
      <c r="M49" s="31">
        <f>779</f>
        <v>779</v>
      </c>
      <c r="N49" s="32" t="s">
        <v>680</v>
      </c>
      <c r="O49" s="31">
        <f>684.7</f>
        <v>684.7</v>
      </c>
      <c r="P49" s="32" t="s">
        <v>677</v>
      </c>
      <c r="Q49" s="31">
        <f>693.4</f>
        <v>693.4</v>
      </c>
      <c r="R49" s="32" t="s">
        <v>777</v>
      </c>
      <c r="S49" s="33">
        <f>712.93</f>
        <v>712.93</v>
      </c>
      <c r="T49" s="30">
        <f>215020</f>
        <v>215020</v>
      </c>
      <c r="U49" s="30" t="str">
        <f>"－"</f>
        <v>－</v>
      </c>
      <c r="V49" s="30">
        <f>155945122</f>
        <v>155945122</v>
      </c>
      <c r="W49" s="30" t="str">
        <f>"－"</f>
        <v>－</v>
      </c>
      <c r="X49" s="34">
        <f>21</f>
        <v>21</v>
      </c>
    </row>
    <row r="50" spans="1:24">
      <c r="A50" s="25" t="s">
        <v>1144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287</f>
        <v>287</v>
      </c>
      <c r="L50" s="32" t="s">
        <v>1110</v>
      </c>
      <c r="M50" s="31">
        <f>323</f>
        <v>323</v>
      </c>
      <c r="N50" s="32" t="s">
        <v>874</v>
      </c>
      <c r="O50" s="31">
        <f>283</f>
        <v>283</v>
      </c>
      <c r="P50" s="32" t="s">
        <v>675</v>
      </c>
      <c r="Q50" s="31">
        <f>285</f>
        <v>285</v>
      </c>
      <c r="R50" s="32" t="s">
        <v>777</v>
      </c>
      <c r="S50" s="33">
        <f>293.24</f>
        <v>293.24</v>
      </c>
      <c r="T50" s="30">
        <f>102894</f>
        <v>102894</v>
      </c>
      <c r="U50" s="30" t="str">
        <f>"－"</f>
        <v>－</v>
      </c>
      <c r="V50" s="30">
        <f>30953139</f>
        <v>30953139</v>
      </c>
      <c r="W50" s="30" t="str">
        <f>"－"</f>
        <v>－</v>
      </c>
      <c r="X50" s="34">
        <f>21</f>
        <v>21</v>
      </c>
    </row>
    <row r="51" spans="1:24">
      <c r="A51" s="25" t="s">
        <v>1144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2833</f>
        <v>2833</v>
      </c>
      <c r="L51" s="32" t="s">
        <v>1110</v>
      </c>
      <c r="M51" s="31">
        <f>2845.5</f>
        <v>2845.5</v>
      </c>
      <c r="N51" s="32" t="s">
        <v>1113</v>
      </c>
      <c r="O51" s="31">
        <f>2658.5</f>
        <v>2658.5</v>
      </c>
      <c r="P51" s="32" t="s">
        <v>680</v>
      </c>
      <c r="Q51" s="31">
        <f>2807</f>
        <v>2807</v>
      </c>
      <c r="R51" s="32" t="s">
        <v>777</v>
      </c>
      <c r="S51" s="33">
        <f>2773.17</f>
        <v>2773.17</v>
      </c>
      <c r="T51" s="30">
        <f>1235200</f>
        <v>1235200</v>
      </c>
      <c r="U51" s="30">
        <f>594040</f>
        <v>594040</v>
      </c>
      <c r="V51" s="30">
        <f>3429967529</f>
        <v>3429967529</v>
      </c>
      <c r="W51" s="30">
        <f>1644318309</f>
        <v>1644318309</v>
      </c>
      <c r="X51" s="34">
        <f>21</f>
        <v>21</v>
      </c>
    </row>
    <row r="52" spans="1:24">
      <c r="A52" s="25" t="s">
        <v>1144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25700</f>
        <v>25700</v>
      </c>
      <c r="L52" s="32" t="s">
        <v>1110</v>
      </c>
      <c r="M52" s="31">
        <f>25700</f>
        <v>25700</v>
      </c>
      <c r="N52" s="32" t="s">
        <v>1110</v>
      </c>
      <c r="O52" s="31">
        <f>23995</f>
        <v>23995</v>
      </c>
      <c r="P52" s="32" t="s">
        <v>680</v>
      </c>
      <c r="Q52" s="31">
        <f>25290</f>
        <v>25290</v>
      </c>
      <c r="R52" s="32" t="s">
        <v>777</v>
      </c>
      <c r="S52" s="33">
        <f>24963.33</f>
        <v>24963.33</v>
      </c>
      <c r="T52" s="30">
        <f>10906</f>
        <v>10906</v>
      </c>
      <c r="U52" s="30" t="str">
        <f>"－"</f>
        <v>－</v>
      </c>
      <c r="V52" s="30">
        <f>272483090</f>
        <v>272483090</v>
      </c>
      <c r="W52" s="30" t="str">
        <f>"－"</f>
        <v>－</v>
      </c>
      <c r="X52" s="34">
        <f>21</f>
        <v>21</v>
      </c>
    </row>
    <row r="53" spans="1:24">
      <c r="A53" s="25" t="s">
        <v>1144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2874</f>
        <v>2874</v>
      </c>
      <c r="L53" s="32" t="s">
        <v>1110</v>
      </c>
      <c r="M53" s="31">
        <f>2878</f>
        <v>2878</v>
      </c>
      <c r="N53" s="32" t="s">
        <v>1110</v>
      </c>
      <c r="O53" s="31">
        <f>2685</f>
        <v>2685</v>
      </c>
      <c r="P53" s="32" t="s">
        <v>680</v>
      </c>
      <c r="Q53" s="31">
        <f>2836</f>
        <v>2836</v>
      </c>
      <c r="R53" s="32" t="s">
        <v>777</v>
      </c>
      <c r="S53" s="33">
        <f>2799.43</f>
        <v>2799.43</v>
      </c>
      <c r="T53" s="30">
        <f>15315142</f>
        <v>15315142</v>
      </c>
      <c r="U53" s="30">
        <f>4145996</f>
        <v>4145996</v>
      </c>
      <c r="V53" s="30">
        <f>42873978283</f>
        <v>42873978283</v>
      </c>
      <c r="W53" s="30">
        <f>11561592519</f>
        <v>11561592519</v>
      </c>
      <c r="X53" s="34">
        <f>21</f>
        <v>21</v>
      </c>
    </row>
    <row r="54" spans="1:24">
      <c r="A54" s="25" t="s">
        <v>1144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1863</f>
        <v>1863</v>
      </c>
      <c r="L54" s="32" t="s">
        <v>1110</v>
      </c>
      <c r="M54" s="31">
        <f>1887</f>
        <v>1887</v>
      </c>
      <c r="N54" s="32" t="s">
        <v>778</v>
      </c>
      <c r="O54" s="31">
        <f>1806</f>
        <v>1806</v>
      </c>
      <c r="P54" s="32" t="s">
        <v>674</v>
      </c>
      <c r="Q54" s="31">
        <f>1881</f>
        <v>1881</v>
      </c>
      <c r="R54" s="32" t="s">
        <v>777</v>
      </c>
      <c r="S54" s="33">
        <f>1853</f>
        <v>1853</v>
      </c>
      <c r="T54" s="30">
        <f>12520896</f>
        <v>12520896</v>
      </c>
      <c r="U54" s="30">
        <f>6808194</f>
        <v>6808194</v>
      </c>
      <c r="V54" s="30">
        <f>23216075293</f>
        <v>23216075293</v>
      </c>
      <c r="W54" s="30">
        <f>12648892516</f>
        <v>12648892516</v>
      </c>
      <c r="X54" s="34">
        <f>21</f>
        <v>21</v>
      </c>
    </row>
    <row r="55" spans="1:24">
      <c r="A55" s="25" t="s">
        <v>1144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2588</f>
        <v>2588</v>
      </c>
      <c r="L55" s="32" t="s">
        <v>1110</v>
      </c>
      <c r="M55" s="31">
        <f>2588</f>
        <v>2588</v>
      </c>
      <c r="N55" s="32" t="s">
        <v>1110</v>
      </c>
      <c r="O55" s="31">
        <f>2450</f>
        <v>2450</v>
      </c>
      <c r="P55" s="32" t="s">
        <v>680</v>
      </c>
      <c r="Q55" s="31">
        <f>2560</f>
        <v>2560</v>
      </c>
      <c r="R55" s="32" t="s">
        <v>777</v>
      </c>
      <c r="S55" s="33">
        <f>2530.19</f>
        <v>2530.19</v>
      </c>
      <c r="T55" s="30">
        <f>76503</f>
        <v>76503</v>
      </c>
      <c r="U55" s="30">
        <f>25311</f>
        <v>25311</v>
      </c>
      <c r="V55" s="30">
        <f>194083406</f>
        <v>194083406</v>
      </c>
      <c r="W55" s="30">
        <f>65043253</f>
        <v>65043253</v>
      </c>
      <c r="X55" s="34">
        <f>21</f>
        <v>21</v>
      </c>
    </row>
    <row r="56" spans="1:24">
      <c r="A56" s="25" t="s">
        <v>1144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3670</f>
        <v>3670</v>
      </c>
      <c r="L56" s="32" t="s">
        <v>1110</v>
      </c>
      <c r="M56" s="31">
        <f>3680</f>
        <v>3680</v>
      </c>
      <c r="N56" s="32" t="s">
        <v>777</v>
      </c>
      <c r="O56" s="31">
        <f>3475</f>
        <v>3475</v>
      </c>
      <c r="P56" s="32" t="s">
        <v>680</v>
      </c>
      <c r="Q56" s="31">
        <f>3680</f>
        <v>3680</v>
      </c>
      <c r="R56" s="32" t="s">
        <v>777</v>
      </c>
      <c r="S56" s="33">
        <f>3611.19</f>
        <v>3611.19</v>
      </c>
      <c r="T56" s="30">
        <f>1529683</f>
        <v>1529683</v>
      </c>
      <c r="U56" s="30">
        <f>715180</f>
        <v>715180</v>
      </c>
      <c r="V56" s="30">
        <f>5484060798</f>
        <v>5484060798</v>
      </c>
      <c r="W56" s="30">
        <f>2551088388</f>
        <v>2551088388</v>
      </c>
      <c r="X56" s="34">
        <f>21</f>
        <v>21</v>
      </c>
    </row>
    <row r="57" spans="1:24">
      <c r="A57" s="25" t="s">
        <v>1144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36250</f>
        <v>36250</v>
      </c>
      <c r="L57" s="32" t="s">
        <v>1110</v>
      </c>
      <c r="M57" s="31">
        <f>36250</f>
        <v>36250</v>
      </c>
      <c r="N57" s="32" t="s">
        <v>1110</v>
      </c>
      <c r="O57" s="31">
        <f>34200</f>
        <v>34200</v>
      </c>
      <c r="P57" s="32" t="s">
        <v>874</v>
      </c>
      <c r="Q57" s="31">
        <f>34200</f>
        <v>34200</v>
      </c>
      <c r="R57" s="32" t="s">
        <v>874</v>
      </c>
      <c r="S57" s="33">
        <f>35117.27</f>
        <v>35117.269999999997</v>
      </c>
      <c r="T57" s="30">
        <f>6174</f>
        <v>6174</v>
      </c>
      <c r="U57" s="30" t="str">
        <f>"－"</f>
        <v>－</v>
      </c>
      <c r="V57" s="30">
        <f>218913600</f>
        <v>218913600</v>
      </c>
      <c r="W57" s="30" t="str">
        <f>"－"</f>
        <v>－</v>
      </c>
      <c r="X57" s="34">
        <f>11</f>
        <v>11</v>
      </c>
    </row>
    <row r="58" spans="1:24">
      <c r="A58" s="25" t="s">
        <v>1144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28135</f>
        <v>28135</v>
      </c>
      <c r="L58" s="32" t="s">
        <v>1110</v>
      </c>
      <c r="M58" s="31">
        <f>28995</f>
        <v>28995</v>
      </c>
      <c r="N58" s="32" t="s">
        <v>760</v>
      </c>
      <c r="O58" s="31">
        <f>26385</f>
        <v>26385</v>
      </c>
      <c r="P58" s="32" t="s">
        <v>680</v>
      </c>
      <c r="Q58" s="31">
        <f>27600</f>
        <v>27600</v>
      </c>
      <c r="R58" s="32" t="s">
        <v>777</v>
      </c>
      <c r="S58" s="33">
        <f>27529.64</f>
        <v>27529.64</v>
      </c>
      <c r="T58" s="30">
        <f>287</f>
        <v>287</v>
      </c>
      <c r="U58" s="30" t="str">
        <f>"－"</f>
        <v>－</v>
      </c>
      <c r="V58" s="30">
        <f>7842780</f>
        <v>7842780</v>
      </c>
      <c r="W58" s="30" t="str">
        <f>"－"</f>
        <v>－</v>
      </c>
      <c r="X58" s="34">
        <f>14</f>
        <v>14</v>
      </c>
    </row>
    <row r="59" spans="1:24">
      <c r="A59" s="25" t="s">
        <v>1144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2861</f>
        <v>2861</v>
      </c>
      <c r="L59" s="32" t="s">
        <v>1110</v>
      </c>
      <c r="M59" s="31">
        <f>2861</f>
        <v>2861</v>
      </c>
      <c r="N59" s="32" t="s">
        <v>1110</v>
      </c>
      <c r="O59" s="31">
        <f>2675</f>
        <v>2675</v>
      </c>
      <c r="P59" s="32" t="s">
        <v>680</v>
      </c>
      <c r="Q59" s="31">
        <f>2821</f>
        <v>2821</v>
      </c>
      <c r="R59" s="32" t="s">
        <v>777</v>
      </c>
      <c r="S59" s="33">
        <f>2790.62</f>
        <v>2790.62</v>
      </c>
      <c r="T59" s="30">
        <f>2992</f>
        <v>2992</v>
      </c>
      <c r="U59" s="30" t="str">
        <f>"－"</f>
        <v>－</v>
      </c>
      <c r="V59" s="30">
        <f>8311240</f>
        <v>8311240</v>
      </c>
      <c r="W59" s="30" t="str">
        <f>"－"</f>
        <v>－</v>
      </c>
      <c r="X59" s="34">
        <f>21</f>
        <v>21</v>
      </c>
    </row>
    <row r="60" spans="1:24">
      <c r="A60" s="25" t="s">
        <v>1144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1754</f>
        <v>1754</v>
      </c>
      <c r="L60" s="32" t="s">
        <v>1110</v>
      </c>
      <c r="M60" s="31">
        <f>1754</f>
        <v>1754</v>
      </c>
      <c r="N60" s="32" t="s">
        <v>1110</v>
      </c>
      <c r="O60" s="31">
        <f>1669</f>
        <v>1669</v>
      </c>
      <c r="P60" s="32" t="s">
        <v>676</v>
      </c>
      <c r="Q60" s="31">
        <f>1683</f>
        <v>1683</v>
      </c>
      <c r="R60" s="32" t="s">
        <v>777</v>
      </c>
      <c r="S60" s="33">
        <f>1702.43</f>
        <v>1702.43</v>
      </c>
      <c r="T60" s="30">
        <f>8228903</f>
        <v>8228903</v>
      </c>
      <c r="U60" s="30">
        <f>6211969</f>
        <v>6211969</v>
      </c>
      <c r="V60" s="30">
        <f>14009106606</f>
        <v>14009106606</v>
      </c>
      <c r="W60" s="30">
        <f>10576390120</f>
        <v>10576390120</v>
      </c>
      <c r="X60" s="34">
        <f>21</f>
        <v>21</v>
      </c>
    </row>
    <row r="61" spans="1:24">
      <c r="A61" s="25" t="s">
        <v>1144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2796</f>
        <v>2796</v>
      </c>
      <c r="L61" s="32" t="s">
        <v>1110</v>
      </c>
      <c r="M61" s="31">
        <f>2827</f>
        <v>2827</v>
      </c>
      <c r="N61" s="32" t="s">
        <v>777</v>
      </c>
      <c r="O61" s="31">
        <f>2667</f>
        <v>2667</v>
      </c>
      <c r="P61" s="32" t="s">
        <v>680</v>
      </c>
      <c r="Q61" s="31">
        <f>2827</f>
        <v>2827</v>
      </c>
      <c r="R61" s="32" t="s">
        <v>777</v>
      </c>
      <c r="S61" s="33">
        <f>2749.76</f>
        <v>2749.76</v>
      </c>
      <c r="T61" s="30">
        <f>783</f>
        <v>783</v>
      </c>
      <c r="U61" s="30" t="str">
        <f>"－"</f>
        <v>－</v>
      </c>
      <c r="V61" s="30">
        <f>2148522</f>
        <v>2148522</v>
      </c>
      <c r="W61" s="30" t="str">
        <f>"－"</f>
        <v>－</v>
      </c>
      <c r="X61" s="34">
        <f>21</f>
        <v>21</v>
      </c>
    </row>
    <row r="62" spans="1:24">
      <c r="A62" s="25" t="s">
        <v>1144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2773.5</f>
        <v>2773.5</v>
      </c>
      <c r="L62" s="32" t="s">
        <v>1110</v>
      </c>
      <c r="M62" s="31">
        <f>2805</f>
        <v>2805</v>
      </c>
      <c r="N62" s="32" t="s">
        <v>759</v>
      </c>
      <c r="O62" s="31">
        <f>2649</f>
        <v>2649</v>
      </c>
      <c r="P62" s="32" t="s">
        <v>680</v>
      </c>
      <c r="Q62" s="31">
        <f>2774</f>
        <v>2774</v>
      </c>
      <c r="R62" s="32" t="s">
        <v>777</v>
      </c>
      <c r="S62" s="33">
        <f>2721.88</f>
        <v>2721.88</v>
      </c>
      <c r="T62" s="30">
        <f>159800</f>
        <v>159800</v>
      </c>
      <c r="U62" s="30">
        <f>30030</f>
        <v>30030</v>
      </c>
      <c r="V62" s="30">
        <f>434858384</f>
        <v>434858384</v>
      </c>
      <c r="W62" s="30">
        <f>82286704</f>
        <v>82286704</v>
      </c>
      <c r="X62" s="34">
        <f>21</f>
        <v>21</v>
      </c>
    </row>
    <row r="63" spans="1:24">
      <c r="A63" s="25" t="s">
        <v>1144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39230</f>
        <v>39230</v>
      </c>
      <c r="L63" s="32" t="s">
        <v>1110</v>
      </c>
      <c r="M63" s="31">
        <f>40630</f>
        <v>40630</v>
      </c>
      <c r="N63" s="32" t="s">
        <v>683</v>
      </c>
      <c r="O63" s="31">
        <f>39180</f>
        <v>39180</v>
      </c>
      <c r="P63" s="32" t="s">
        <v>683</v>
      </c>
      <c r="Q63" s="31">
        <f>39180</f>
        <v>39180</v>
      </c>
      <c r="R63" s="32" t="s">
        <v>683</v>
      </c>
      <c r="S63" s="33">
        <f>39422.5</f>
        <v>39422.5</v>
      </c>
      <c r="T63" s="30">
        <f>40</f>
        <v>40</v>
      </c>
      <c r="U63" s="30" t="str">
        <f>"－"</f>
        <v>－</v>
      </c>
      <c r="V63" s="30">
        <f>1591620</f>
        <v>1591620</v>
      </c>
      <c r="W63" s="30" t="str">
        <f>"－"</f>
        <v>－</v>
      </c>
      <c r="X63" s="34">
        <f>4</f>
        <v>4</v>
      </c>
    </row>
    <row r="64" spans="1:24">
      <c r="A64" s="25" t="s">
        <v>1144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23665</f>
        <v>23665</v>
      </c>
      <c r="L64" s="32" t="s">
        <v>1110</v>
      </c>
      <c r="M64" s="31">
        <f>23850</f>
        <v>23850</v>
      </c>
      <c r="N64" s="32" t="s">
        <v>777</v>
      </c>
      <c r="O64" s="31">
        <f>23235</f>
        <v>23235</v>
      </c>
      <c r="P64" s="32" t="s">
        <v>684</v>
      </c>
      <c r="Q64" s="31">
        <f>23830</f>
        <v>23830</v>
      </c>
      <c r="R64" s="32" t="s">
        <v>777</v>
      </c>
      <c r="S64" s="33">
        <f>23456.19</f>
        <v>23456.19</v>
      </c>
      <c r="T64" s="30">
        <f>175822</f>
        <v>175822</v>
      </c>
      <c r="U64" s="30">
        <f>136016</f>
        <v>136016</v>
      </c>
      <c r="V64" s="30">
        <f>4123241350</f>
        <v>4123241350</v>
      </c>
      <c r="W64" s="30">
        <f>3190012590</f>
        <v>3190012590</v>
      </c>
      <c r="X64" s="34">
        <f>21</f>
        <v>21</v>
      </c>
    </row>
    <row r="65" spans="1:24">
      <c r="A65" s="25" t="s">
        <v>1144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13425</f>
        <v>13425</v>
      </c>
      <c r="L65" s="32" t="s">
        <v>1110</v>
      </c>
      <c r="M65" s="31">
        <f>13450</f>
        <v>13450</v>
      </c>
      <c r="N65" s="32" t="s">
        <v>1110</v>
      </c>
      <c r="O65" s="31">
        <f>12895</f>
        <v>12895</v>
      </c>
      <c r="P65" s="32" t="s">
        <v>676</v>
      </c>
      <c r="Q65" s="31">
        <f>12985</f>
        <v>12985</v>
      </c>
      <c r="R65" s="32" t="s">
        <v>777</v>
      </c>
      <c r="S65" s="33">
        <f>13118.1</f>
        <v>13118.1</v>
      </c>
      <c r="T65" s="30">
        <f>591550</f>
        <v>591550</v>
      </c>
      <c r="U65" s="30">
        <f>533074</f>
        <v>533074</v>
      </c>
      <c r="V65" s="30">
        <f>7735980046</f>
        <v>7735980046</v>
      </c>
      <c r="W65" s="30">
        <f>6970766471</f>
        <v>6970766471</v>
      </c>
      <c r="X65" s="34">
        <f>21</f>
        <v>21</v>
      </c>
    </row>
    <row r="66" spans="1:24">
      <c r="A66" s="25" t="s">
        <v>1144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10</v>
      </c>
      <c r="K66" s="31">
        <f>1852.5</f>
        <v>1852.5</v>
      </c>
      <c r="L66" s="32" t="s">
        <v>1110</v>
      </c>
      <c r="M66" s="31">
        <f>1875.5</f>
        <v>1875.5</v>
      </c>
      <c r="N66" s="32" t="s">
        <v>778</v>
      </c>
      <c r="O66" s="31">
        <f>1797</f>
        <v>1797</v>
      </c>
      <c r="P66" s="32" t="s">
        <v>674</v>
      </c>
      <c r="Q66" s="31">
        <f>1869</f>
        <v>1869</v>
      </c>
      <c r="R66" s="32" t="s">
        <v>777</v>
      </c>
      <c r="S66" s="33">
        <f>1841.05</f>
        <v>1841.05</v>
      </c>
      <c r="T66" s="30">
        <f>1728590</f>
        <v>1728590</v>
      </c>
      <c r="U66" s="30">
        <f>235280</f>
        <v>235280</v>
      </c>
      <c r="V66" s="30">
        <f>3173012024</f>
        <v>3173012024</v>
      </c>
      <c r="W66" s="30">
        <f>435555604</f>
        <v>435555604</v>
      </c>
      <c r="X66" s="34">
        <f>21</f>
        <v>21</v>
      </c>
    </row>
    <row r="67" spans="1:24">
      <c r="A67" s="25" t="s">
        <v>1144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2312</f>
        <v>2312</v>
      </c>
      <c r="L67" s="32" t="s">
        <v>1110</v>
      </c>
      <c r="M67" s="31">
        <f>2325</f>
        <v>2325</v>
      </c>
      <c r="N67" s="32" t="s">
        <v>777</v>
      </c>
      <c r="O67" s="31">
        <f>2203</f>
        <v>2203</v>
      </c>
      <c r="P67" s="32" t="s">
        <v>680</v>
      </c>
      <c r="Q67" s="31">
        <f>2325</f>
        <v>2325</v>
      </c>
      <c r="R67" s="32" t="s">
        <v>777</v>
      </c>
      <c r="S67" s="33">
        <f>2271.1</f>
        <v>2271.1</v>
      </c>
      <c r="T67" s="30">
        <f>19006053</f>
        <v>19006053</v>
      </c>
      <c r="U67" s="30">
        <f>4691066</f>
        <v>4691066</v>
      </c>
      <c r="V67" s="30">
        <f>43059111191</f>
        <v>43059111191</v>
      </c>
      <c r="W67" s="30">
        <f>10603429927</f>
        <v>10603429927</v>
      </c>
      <c r="X67" s="34">
        <f>21</f>
        <v>21</v>
      </c>
    </row>
    <row r="68" spans="1:24">
      <c r="A68" s="25" t="s">
        <v>1144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7615</f>
        <v>7615</v>
      </c>
      <c r="L68" s="32" t="s">
        <v>1110</v>
      </c>
      <c r="M68" s="31">
        <f>7622</f>
        <v>7622</v>
      </c>
      <c r="N68" s="32" t="s">
        <v>676</v>
      </c>
      <c r="O68" s="31">
        <f>7459</f>
        <v>7459</v>
      </c>
      <c r="P68" s="32" t="s">
        <v>676</v>
      </c>
      <c r="Q68" s="31">
        <f>7621</f>
        <v>7621</v>
      </c>
      <c r="R68" s="32" t="s">
        <v>676</v>
      </c>
      <c r="S68" s="33">
        <f>7597.25</f>
        <v>7597.25</v>
      </c>
      <c r="T68" s="30">
        <f>140</f>
        <v>140</v>
      </c>
      <c r="U68" s="30" t="str">
        <f>"－"</f>
        <v>－</v>
      </c>
      <c r="V68" s="30">
        <f>1056260</f>
        <v>1056260</v>
      </c>
      <c r="W68" s="30" t="str">
        <f>"－"</f>
        <v>－</v>
      </c>
      <c r="X68" s="34">
        <f>4</f>
        <v>4</v>
      </c>
    </row>
    <row r="69" spans="1:24">
      <c r="A69" s="25" t="s">
        <v>1144</v>
      </c>
      <c r="B69" s="25" t="s">
        <v>192</v>
      </c>
      <c r="C69" s="25" t="s">
        <v>193</v>
      </c>
      <c r="D69" s="25" t="s">
        <v>194</v>
      </c>
      <c r="E69" s="26" t="s">
        <v>1125</v>
      </c>
      <c r="F69" s="27" t="s">
        <v>1126</v>
      </c>
      <c r="G69" s="28" t="s">
        <v>1146</v>
      </c>
      <c r="H69" s="29" t="s">
        <v>761</v>
      </c>
      <c r="I69" s="29"/>
      <c r="J69" s="30">
        <v>1</v>
      </c>
      <c r="K69" s="31">
        <f>19720</f>
        <v>19720</v>
      </c>
      <c r="L69" s="32" t="s">
        <v>1110</v>
      </c>
      <c r="M69" s="31">
        <f>19770</f>
        <v>19770</v>
      </c>
      <c r="N69" s="32" t="s">
        <v>1116</v>
      </c>
      <c r="O69" s="31">
        <f>19200</f>
        <v>19200</v>
      </c>
      <c r="P69" s="32" t="s">
        <v>1145</v>
      </c>
      <c r="Q69" s="31">
        <f>19590</f>
        <v>19590</v>
      </c>
      <c r="R69" s="32" t="s">
        <v>677</v>
      </c>
      <c r="S69" s="33">
        <f>19514.5</f>
        <v>19514.5</v>
      </c>
      <c r="T69" s="30">
        <f>836</f>
        <v>836</v>
      </c>
      <c r="U69" s="30">
        <f>5</f>
        <v>5</v>
      </c>
      <c r="V69" s="30">
        <f>16357960</f>
        <v>16357960</v>
      </c>
      <c r="W69" s="30">
        <f>97925</f>
        <v>97925</v>
      </c>
      <c r="X69" s="34">
        <f>10</f>
        <v>10</v>
      </c>
    </row>
    <row r="70" spans="1:24">
      <c r="A70" s="25" t="s">
        <v>1144</v>
      </c>
      <c r="B70" s="25" t="s">
        <v>195</v>
      </c>
      <c r="C70" s="25" t="s">
        <v>196</v>
      </c>
      <c r="D70" s="25" t="s">
        <v>197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20200</f>
        <v>20200</v>
      </c>
      <c r="L70" s="32" t="s">
        <v>1110</v>
      </c>
      <c r="M70" s="31">
        <f>20200</f>
        <v>20200</v>
      </c>
      <c r="N70" s="32" t="s">
        <v>1110</v>
      </c>
      <c r="O70" s="31">
        <f>18680</f>
        <v>18680</v>
      </c>
      <c r="P70" s="32" t="s">
        <v>680</v>
      </c>
      <c r="Q70" s="31">
        <f>19485</f>
        <v>19485</v>
      </c>
      <c r="R70" s="32" t="s">
        <v>777</v>
      </c>
      <c r="S70" s="33">
        <f>19471.43</f>
        <v>19471.43</v>
      </c>
      <c r="T70" s="30">
        <f>8864</f>
        <v>8864</v>
      </c>
      <c r="U70" s="30" t="str">
        <f>"－"</f>
        <v>－</v>
      </c>
      <c r="V70" s="30">
        <f>173732695</f>
        <v>173732695</v>
      </c>
      <c r="W70" s="30" t="str">
        <f>"－"</f>
        <v>－</v>
      </c>
      <c r="X70" s="34">
        <f>21</f>
        <v>21</v>
      </c>
    </row>
    <row r="71" spans="1:24">
      <c r="A71" s="25" t="s">
        <v>1144</v>
      </c>
      <c r="B71" s="25" t="s">
        <v>198</v>
      </c>
      <c r="C71" s="25" t="s">
        <v>199</v>
      </c>
      <c r="D71" s="25" t="s">
        <v>200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31170</f>
        <v>31170</v>
      </c>
      <c r="L71" s="32" t="s">
        <v>1110</v>
      </c>
      <c r="M71" s="31">
        <f>31170</f>
        <v>31170</v>
      </c>
      <c r="N71" s="32" t="s">
        <v>1110</v>
      </c>
      <c r="O71" s="31">
        <f>29155</f>
        <v>29155</v>
      </c>
      <c r="P71" s="32" t="s">
        <v>680</v>
      </c>
      <c r="Q71" s="31">
        <f>30580</f>
        <v>30580</v>
      </c>
      <c r="R71" s="32" t="s">
        <v>777</v>
      </c>
      <c r="S71" s="33">
        <f>30208.81</f>
        <v>30208.81</v>
      </c>
      <c r="T71" s="30">
        <f>31517</f>
        <v>31517</v>
      </c>
      <c r="U71" s="30">
        <f>10100</f>
        <v>10100</v>
      </c>
      <c r="V71" s="30">
        <f>946325970</f>
        <v>946325970</v>
      </c>
      <c r="W71" s="30">
        <f>301698830</f>
        <v>301698830</v>
      </c>
      <c r="X71" s="34">
        <f>21</f>
        <v>21</v>
      </c>
    </row>
    <row r="72" spans="1:24">
      <c r="A72" s="25" t="s">
        <v>1144</v>
      </c>
      <c r="B72" s="25" t="s">
        <v>201</v>
      </c>
      <c r="C72" s="25" t="s">
        <v>202</v>
      </c>
      <c r="D72" s="25" t="s">
        <v>203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10</v>
      </c>
      <c r="K72" s="31">
        <f>10290</f>
        <v>10290</v>
      </c>
      <c r="L72" s="32" t="s">
        <v>1110</v>
      </c>
      <c r="M72" s="31">
        <f>10930</f>
        <v>10930</v>
      </c>
      <c r="N72" s="32" t="s">
        <v>684</v>
      </c>
      <c r="O72" s="31">
        <f>9760</f>
        <v>9760</v>
      </c>
      <c r="P72" s="32" t="s">
        <v>680</v>
      </c>
      <c r="Q72" s="31">
        <f>10045</f>
        <v>10045</v>
      </c>
      <c r="R72" s="32" t="s">
        <v>777</v>
      </c>
      <c r="S72" s="33">
        <f>10160.38</f>
        <v>10160.379999999999</v>
      </c>
      <c r="T72" s="30">
        <f>24840</f>
        <v>24840</v>
      </c>
      <c r="U72" s="30">
        <f>30</f>
        <v>30</v>
      </c>
      <c r="V72" s="30">
        <f>252773210</f>
        <v>252773210</v>
      </c>
      <c r="W72" s="30">
        <f>303500</f>
        <v>303500</v>
      </c>
      <c r="X72" s="34">
        <f>21</f>
        <v>21</v>
      </c>
    </row>
    <row r="73" spans="1:24">
      <c r="A73" s="25" t="s">
        <v>1144</v>
      </c>
      <c r="B73" s="25" t="s">
        <v>204</v>
      </c>
      <c r="C73" s="25" t="s">
        <v>205</v>
      </c>
      <c r="D73" s="25" t="s">
        <v>206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1893</f>
        <v>1893</v>
      </c>
      <c r="L73" s="32" t="s">
        <v>1110</v>
      </c>
      <c r="M73" s="31">
        <f>1893</f>
        <v>1893</v>
      </c>
      <c r="N73" s="32" t="s">
        <v>1110</v>
      </c>
      <c r="O73" s="31">
        <f>1783</f>
        <v>1783</v>
      </c>
      <c r="P73" s="32" t="s">
        <v>682</v>
      </c>
      <c r="Q73" s="31">
        <f>1799</f>
        <v>1799</v>
      </c>
      <c r="R73" s="32" t="s">
        <v>777</v>
      </c>
      <c r="S73" s="33">
        <f>1822.9</f>
        <v>1822.9</v>
      </c>
      <c r="T73" s="30">
        <f>4065909</f>
        <v>4065909</v>
      </c>
      <c r="U73" s="30">
        <f>3400632</f>
        <v>3400632</v>
      </c>
      <c r="V73" s="30">
        <f>7405588789</f>
        <v>7405588789</v>
      </c>
      <c r="W73" s="30">
        <f>6191722633</f>
        <v>6191722633</v>
      </c>
      <c r="X73" s="34">
        <f>21</f>
        <v>21</v>
      </c>
    </row>
    <row r="74" spans="1:24">
      <c r="A74" s="25" t="s">
        <v>1144</v>
      </c>
      <c r="B74" s="25" t="s">
        <v>207</v>
      </c>
      <c r="C74" s="25" t="s">
        <v>208</v>
      </c>
      <c r="D74" s="25" t="s">
        <v>209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1910</f>
        <v>1910</v>
      </c>
      <c r="L74" s="32" t="s">
        <v>1110</v>
      </c>
      <c r="M74" s="31">
        <f>1912</f>
        <v>1912</v>
      </c>
      <c r="N74" s="32" t="s">
        <v>1110</v>
      </c>
      <c r="O74" s="31">
        <f>1820</f>
        <v>1820</v>
      </c>
      <c r="P74" s="32" t="s">
        <v>682</v>
      </c>
      <c r="Q74" s="31">
        <f>1845</f>
        <v>1845</v>
      </c>
      <c r="R74" s="32" t="s">
        <v>777</v>
      </c>
      <c r="S74" s="33">
        <f>1857.38</f>
        <v>1857.38</v>
      </c>
      <c r="T74" s="30">
        <f>933958</f>
        <v>933958</v>
      </c>
      <c r="U74" s="30">
        <f>62007</f>
        <v>62007</v>
      </c>
      <c r="V74" s="30">
        <f>1735247568</f>
        <v>1735247568</v>
      </c>
      <c r="W74" s="30">
        <f>114557284</f>
        <v>114557284</v>
      </c>
      <c r="X74" s="34">
        <f>21</f>
        <v>21</v>
      </c>
    </row>
    <row r="75" spans="1:24">
      <c r="A75" s="25" t="s">
        <v>1144</v>
      </c>
      <c r="B75" s="25" t="s">
        <v>210</v>
      </c>
      <c r="C75" s="25" t="s">
        <v>211</v>
      </c>
      <c r="D75" s="25" t="s">
        <v>212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22300</f>
        <v>22300</v>
      </c>
      <c r="L75" s="32" t="s">
        <v>1110</v>
      </c>
      <c r="M75" s="31">
        <f>22300</f>
        <v>22300</v>
      </c>
      <c r="N75" s="32" t="s">
        <v>1110</v>
      </c>
      <c r="O75" s="31">
        <f>20965</f>
        <v>20965</v>
      </c>
      <c r="P75" s="32" t="s">
        <v>680</v>
      </c>
      <c r="Q75" s="31">
        <f>21985</f>
        <v>21985</v>
      </c>
      <c r="R75" s="32" t="s">
        <v>777</v>
      </c>
      <c r="S75" s="33">
        <f>21729.76</f>
        <v>21729.759999999998</v>
      </c>
      <c r="T75" s="30">
        <f>16896</f>
        <v>16896</v>
      </c>
      <c r="U75" s="30">
        <f>2501</f>
        <v>2501</v>
      </c>
      <c r="V75" s="30">
        <f>363993950</f>
        <v>363993950</v>
      </c>
      <c r="W75" s="30">
        <f>53541560</f>
        <v>53541560</v>
      </c>
      <c r="X75" s="34">
        <f>21</f>
        <v>21</v>
      </c>
    </row>
    <row r="76" spans="1:24">
      <c r="A76" s="25" t="s">
        <v>1144</v>
      </c>
      <c r="B76" s="25" t="s">
        <v>213</v>
      </c>
      <c r="C76" s="25" t="s">
        <v>214</v>
      </c>
      <c r="D76" s="25" t="s">
        <v>215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9509</f>
        <v>9509</v>
      </c>
      <c r="L76" s="32" t="s">
        <v>1110</v>
      </c>
      <c r="M76" s="31">
        <f>9738</f>
        <v>9738</v>
      </c>
      <c r="N76" s="32" t="s">
        <v>1113</v>
      </c>
      <c r="O76" s="31">
        <f>9370</f>
        <v>9370</v>
      </c>
      <c r="P76" s="32" t="s">
        <v>677</v>
      </c>
      <c r="Q76" s="31">
        <f>9491</f>
        <v>9491</v>
      </c>
      <c r="R76" s="32" t="s">
        <v>777</v>
      </c>
      <c r="S76" s="33">
        <f>9452.86</f>
        <v>9452.86</v>
      </c>
      <c r="T76" s="30">
        <f>3217</f>
        <v>3217</v>
      </c>
      <c r="U76" s="30">
        <f>1</f>
        <v>1</v>
      </c>
      <c r="V76" s="30">
        <f>30495469</f>
        <v>30495469</v>
      </c>
      <c r="W76" s="30">
        <f>9384</f>
        <v>9384</v>
      </c>
      <c r="X76" s="34">
        <f>21</f>
        <v>21</v>
      </c>
    </row>
    <row r="77" spans="1:24">
      <c r="A77" s="25" t="s">
        <v>1144</v>
      </c>
      <c r="B77" s="25" t="s">
        <v>216</v>
      </c>
      <c r="C77" s="25" t="s">
        <v>217</v>
      </c>
      <c r="D77" s="25" t="s">
        <v>218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10745</f>
        <v>10745</v>
      </c>
      <c r="L77" s="32" t="s">
        <v>1110</v>
      </c>
      <c r="M77" s="31">
        <f>12985</f>
        <v>12985</v>
      </c>
      <c r="N77" s="32" t="s">
        <v>760</v>
      </c>
      <c r="O77" s="31">
        <f>10580</f>
        <v>10580</v>
      </c>
      <c r="P77" s="32" t="s">
        <v>1110</v>
      </c>
      <c r="Q77" s="31">
        <f>11095</f>
        <v>11095</v>
      </c>
      <c r="R77" s="32" t="s">
        <v>777</v>
      </c>
      <c r="S77" s="33">
        <f>11348.1</f>
        <v>11348.1</v>
      </c>
      <c r="T77" s="30">
        <f>10187551</f>
        <v>10187551</v>
      </c>
      <c r="U77" s="30">
        <f>532114</f>
        <v>532114</v>
      </c>
      <c r="V77" s="30">
        <f>117200791950</f>
        <v>117200791950</v>
      </c>
      <c r="W77" s="30">
        <f>6120738645</f>
        <v>6120738645</v>
      </c>
      <c r="X77" s="34">
        <f>21</f>
        <v>21</v>
      </c>
    </row>
    <row r="78" spans="1:24">
      <c r="A78" s="25" t="s">
        <v>1144</v>
      </c>
      <c r="B78" s="25" t="s">
        <v>219</v>
      </c>
      <c r="C78" s="25" t="s">
        <v>220</v>
      </c>
      <c r="D78" s="25" t="s">
        <v>221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4010</f>
        <v>4010</v>
      </c>
      <c r="L78" s="32" t="s">
        <v>1110</v>
      </c>
      <c r="M78" s="31">
        <f>4455</f>
        <v>4455</v>
      </c>
      <c r="N78" s="32" t="s">
        <v>677</v>
      </c>
      <c r="O78" s="31">
        <f>3985</f>
        <v>3985</v>
      </c>
      <c r="P78" s="32" t="s">
        <v>1116</v>
      </c>
      <c r="Q78" s="31">
        <f>4315</f>
        <v>4315</v>
      </c>
      <c r="R78" s="32" t="s">
        <v>777</v>
      </c>
      <c r="S78" s="33">
        <f>4209.52</f>
        <v>4209.5200000000004</v>
      </c>
      <c r="T78" s="30">
        <f>1114106</f>
        <v>1114106</v>
      </c>
      <c r="U78" s="30" t="str">
        <f>"－"</f>
        <v>－</v>
      </c>
      <c r="V78" s="30">
        <f>4726140490</f>
        <v>4726140490</v>
      </c>
      <c r="W78" s="30" t="str">
        <f>"－"</f>
        <v>－</v>
      </c>
      <c r="X78" s="34">
        <f>21</f>
        <v>21</v>
      </c>
    </row>
    <row r="79" spans="1:24">
      <c r="A79" s="25" t="s">
        <v>1144</v>
      </c>
      <c r="B79" s="25" t="s">
        <v>222</v>
      </c>
      <c r="C79" s="25" t="s">
        <v>223</v>
      </c>
      <c r="D79" s="25" t="s">
        <v>224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12050</f>
        <v>12050</v>
      </c>
      <c r="L79" s="32" t="s">
        <v>1110</v>
      </c>
      <c r="M79" s="31">
        <f>17450</f>
        <v>17450</v>
      </c>
      <c r="N79" s="32" t="s">
        <v>760</v>
      </c>
      <c r="O79" s="31">
        <f>11730</f>
        <v>11730</v>
      </c>
      <c r="P79" s="32" t="s">
        <v>1116</v>
      </c>
      <c r="Q79" s="31">
        <f>12715</f>
        <v>12715</v>
      </c>
      <c r="R79" s="32" t="s">
        <v>777</v>
      </c>
      <c r="S79" s="33">
        <f>13893.33</f>
        <v>13893.33</v>
      </c>
      <c r="T79" s="30">
        <f>1416424</f>
        <v>1416424</v>
      </c>
      <c r="U79" s="30">
        <f>5118</f>
        <v>5118</v>
      </c>
      <c r="V79" s="30">
        <f>20240947865</f>
        <v>20240947865</v>
      </c>
      <c r="W79" s="30">
        <f>75454305</f>
        <v>75454305</v>
      </c>
      <c r="X79" s="34">
        <f>21</f>
        <v>21</v>
      </c>
    </row>
    <row r="80" spans="1:24">
      <c r="A80" s="25" t="s">
        <v>1144</v>
      </c>
      <c r="B80" s="25" t="s">
        <v>225</v>
      </c>
      <c r="C80" s="25" t="s">
        <v>226</v>
      </c>
      <c r="D80" s="25" t="s">
        <v>227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44440</f>
        <v>44440</v>
      </c>
      <c r="L80" s="32" t="s">
        <v>1110</v>
      </c>
      <c r="M80" s="31">
        <f>49020</f>
        <v>49020</v>
      </c>
      <c r="N80" s="32" t="s">
        <v>759</v>
      </c>
      <c r="O80" s="31">
        <f>43440</f>
        <v>43440</v>
      </c>
      <c r="P80" s="32" t="s">
        <v>1110</v>
      </c>
      <c r="Q80" s="31">
        <f>44000</f>
        <v>44000</v>
      </c>
      <c r="R80" s="32" t="s">
        <v>777</v>
      </c>
      <c r="S80" s="33">
        <f>45684.29</f>
        <v>45684.29</v>
      </c>
      <c r="T80" s="30">
        <f>15277</f>
        <v>15277</v>
      </c>
      <c r="U80" s="30">
        <f>23</f>
        <v>23</v>
      </c>
      <c r="V80" s="30">
        <f>707940180</f>
        <v>707940180</v>
      </c>
      <c r="W80" s="30">
        <f>1035310</f>
        <v>1035310</v>
      </c>
      <c r="X80" s="34">
        <f>21</f>
        <v>21</v>
      </c>
    </row>
    <row r="81" spans="1:24">
      <c r="A81" s="25" t="s">
        <v>1144</v>
      </c>
      <c r="B81" s="25" t="s">
        <v>228</v>
      </c>
      <c r="C81" s="25" t="s">
        <v>779</v>
      </c>
      <c r="D81" s="25" t="s">
        <v>780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28195</f>
        <v>28195</v>
      </c>
      <c r="L81" s="32" t="s">
        <v>1110</v>
      </c>
      <c r="M81" s="31">
        <f>28440</f>
        <v>28440</v>
      </c>
      <c r="N81" s="32" t="s">
        <v>677</v>
      </c>
      <c r="O81" s="31">
        <f>26540</f>
        <v>26540</v>
      </c>
      <c r="P81" s="32" t="s">
        <v>680</v>
      </c>
      <c r="Q81" s="31">
        <f>28275</f>
        <v>28275</v>
      </c>
      <c r="R81" s="32" t="s">
        <v>777</v>
      </c>
      <c r="S81" s="33">
        <f>27759.76</f>
        <v>27759.759999999998</v>
      </c>
      <c r="T81" s="30">
        <f>759823</f>
        <v>759823</v>
      </c>
      <c r="U81" s="30">
        <f>3695</f>
        <v>3695</v>
      </c>
      <c r="V81" s="30">
        <f>21069107260</f>
        <v>21069107260</v>
      </c>
      <c r="W81" s="30">
        <f>104331285</f>
        <v>104331285</v>
      </c>
      <c r="X81" s="34">
        <f>21</f>
        <v>21</v>
      </c>
    </row>
    <row r="82" spans="1:24">
      <c r="A82" s="25" t="s">
        <v>1144</v>
      </c>
      <c r="B82" s="25" t="s">
        <v>229</v>
      </c>
      <c r="C82" s="25" t="s">
        <v>781</v>
      </c>
      <c r="D82" s="25" t="s">
        <v>782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</v>
      </c>
      <c r="K82" s="31">
        <f>59170</f>
        <v>59170</v>
      </c>
      <c r="L82" s="32" t="s">
        <v>1110</v>
      </c>
      <c r="M82" s="31">
        <f>59190</f>
        <v>59190</v>
      </c>
      <c r="N82" s="32" t="s">
        <v>1110</v>
      </c>
      <c r="O82" s="31">
        <f>55970</f>
        <v>55970</v>
      </c>
      <c r="P82" s="32" t="s">
        <v>680</v>
      </c>
      <c r="Q82" s="31">
        <f>58790</f>
        <v>58790</v>
      </c>
      <c r="R82" s="32" t="s">
        <v>777</v>
      </c>
      <c r="S82" s="33">
        <f>57829.52</f>
        <v>57829.52</v>
      </c>
      <c r="T82" s="30">
        <f>105815</f>
        <v>105815</v>
      </c>
      <c r="U82" s="30">
        <f>8502</f>
        <v>8502</v>
      </c>
      <c r="V82" s="30">
        <f>6124471273</f>
        <v>6124471273</v>
      </c>
      <c r="W82" s="30">
        <f>490920543</f>
        <v>490920543</v>
      </c>
      <c r="X82" s="34">
        <f>21</f>
        <v>21</v>
      </c>
    </row>
    <row r="83" spans="1:24">
      <c r="A83" s="25" t="s">
        <v>1144</v>
      </c>
      <c r="B83" s="25" t="s">
        <v>230</v>
      </c>
      <c r="C83" s="25" t="s">
        <v>231</v>
      </c>
      <c r="D83" s="25" t="s">
        <v>232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8677</f>
        <v>8677</v>
      </c>
      <c r="L83" s="32" t="s">
        <v>1110</v>
      </c>
      <c r="M83" s="31">
        <f>8720</f>
        <v>8720</v>
      </c>
      <c r="N83" s="32" t="s">
        <v>777</v>
      </c>
      <c r="O83" s="31">
        <f>8235</f>
        <v>8235</v>
      </c>
      <c r="P83" s="32" t="s">
        <v>680</v>
      </c>
      <c r="Q83" s="31">
        <f>8715</f>
        <v>8715</v>
      </c>
      <c r="R83" s="32" t="s">
        <v>777</v>
      </c>
      <c r="S83" s="33">
        <f>8561.86</f>
        <v>8561.86</v>
      </c>
      <c r="T83" s="30">
        <f>1532820</f>
        <v>1532820</v>
      </c>
      <c r="U83" s="30">
        <f>221860</f>
        <v>221860</v>
      </c>
      <c r="V83" s="30">
        <f>13082592769</f>
        <v>13082592769</v>
      </c>
      <c r="W83" s="30">
        <f>1879389619</f>
        <v>1879389619</v>
      </c>
      <c r="X83" s="34">
        <f>21</f>
        <v>21</v>
      </c>
    </row>
    <row r="84" spans="1:24">
      <c r="A84" s="25" t="s">
        <v>1144</v>
      </c>
      <c r="B84" s="25" t="s">
        <v>233</v>
      </c>
      <c r="C84" s="25" t="s">
        <v>234</v>
      </c>
      <c r="D84" s="25" t="s">
        <v>235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5412</f>
        <v>5412</v>
      </c>
      <c r="L84" s="32" t="s">
        <v>1110</v>
      </c>
      <c r="M84" s="31">
        <f>5476</f>
        <v>5476</v>
      </c>
      <c r="N84" s="32" t="s">
        <v>777</v>
      </c>
      <c r="O84" s="31">
        <f>5161</f>
        <v>5161</v>
      </c>
      <c r="P84" s="32" t="s">
        <v>680</v>
      </c>
      <c r="Q84" s="31">
        <f>5453</f>
        <v>5453</v>
      </c>
      <c r="R84" s="32" t="s">
        <v>777</v>
      </c>
      <c r="S84" s="33">
        <f>5359.38</f>
        <v>5359.38</v>
      </c>
      <c r="T84" s="30">
        <f>126550</f>
        <v>126550</v>
      </c>
      <c r="U84" s="30">
        <f>100</f>
        <v>100</v>
      </c>
      <c r="V84" s="30">
        <f>677470070</f>
        <v>677470070</v>
      </c>
      <c r="W84" s="30">
        <f>528940</f>
        <v>528940</v>
      </c>
      <c r="X84" s="34">
        <f>21</f>
        <v>21</v>
      </c>
    </row>
    <row r="85" spans="1:24">
      <c r="A85" s="25" t="s">
        <v>1144</v>
      </c>
      <c r="B85" s="25" t="s">
        <v>236</v>
      </c>
      <c r="C85" s="25" t="s">
        <v>854</v>
      </c>
      <c r="D85" s="25" t="s">
        <v>855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5300</f>
        <v>5300</v>
      </c>
      <c r="L85" s="32" t="s">
        <v>1110</v>
      </c>
      <c r="M85" s="31">
        <f>5300</f>
        <v>5300</v>
      </c>
      <c r="N85" s="32" t="s">
        <v>1110</v>
      </c>
      <c r="O85" s="31">
        <f>4860</f>
        <v>4860</v>
      </c>
      <c r="P85" s="32" t="s">
        <v>680</v>
      </c>
      <c r="Q85" s="31">
        <f>5033</f>
        <v>5033</v>
      </c>
      <c r="R85" s="32" t="s">
        <v>777</v>
      </c>
      <c r="S85" s="33">
        <f>5030.71</f>
        <v>5030.71</v>
      </c>
      <c r="T85" s="30">
        <f>4770</f>
        <v>4770</v>
      </c>
      <c r="U85" s="30" t="str">
        <f>"－"</f>
        <v>－</v>
      </c>
      <c r="V85" s="30">
        <f>24071280</f>
        <v>24071280</v>
      </c>
      <c r="W85" s="30" t="str">
        <f>"－"</f>
        <v>－</v>
      </c>
      <c r="X85" s="34">
        <f>21</f>
        <v>21</v>
      </c>
    </row>
    <row r="86" spans="1:24">
      <c r="A86" s="25" t="s">
        <v>1144</v>
      </c>
      <c r="B86" s="25" t="s">
        <v>241</v>
      </c>
      <c r="C86" s="25" t="s">
        <v>242</v>
      </c>
      <c r="D86" s="25" t="s">
        <v>243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4435</f>
        <v>4435</v>
      </c>
      <c r="L86" s="32" t="s">
        <v>1110</v>
      </c>
      <c r="M86" s="31">
        <f>4493</f>
        <v>4493</v>
      </c>
      <c r="N86" s="32" t="s">
        <v>777</v>
      </c>
      <c r="O86" s="31">
        <f>4227</f>
        <v>4227</v>
      </c>
      <c r="P86" s="32" t="s">
        <v>680</v>
      </c>
      <c r="Q86" s="31">
        <f>4475</f>
        <v>4475</v>
      </c>
      <c r="R86" s="32" t="s">
        <v>777</v>
      </c>
      <c r="S86" s="33">
        <f>4388.86</f>
        <v>4388.8599999999997</v>
      </c>
      <c r="T86" s="30">
        <f>70780</f>
        <v>70780</v>
      </c>
      <c r="U86" s="30">
        <f>80</f>
        <v>80</v>
      </c>
      <c r="V86" s="30">
        <f>310210300</f>
        <v>310210300</v>
      </c>
      <c r="W86" s="30">
        <f>352330</f>
        <v>352330</v>
      </c>
      <c r="X86" s="34">
        <f>21</f>
        <v>21</v>
      </c>
    </row>
    <row r="87" spans="1:24">
      <c r="A87" s="25" t="s">
        <v>1144</v>
      </c>
      <c r="B87" s="25" t="s">
        <v>244</v>
      </c>
      <c r="C87" s="25" t="s">
        <v>971</v>
      </c>
      <c r="D87" s="25" t="s">
        <v>245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10</v>
      </c>
      <c r="K87" s="31">
        <f>2265.5</f>
        <v>2265.5</v>
      </c>
      <c r="L87" s="32" t="s">
        <v>1110</v>
      </c>
      <c r="M87" s="31">
        <f>2301</f>
        <v>2301</v>
      </c>
      <c r="N87" s="32" t="s">
        <v>1110</v>
      </c>
      <c r="O87" s="31">
        <f>2020</f>
        <v>2020</v>
      </c>
      <c r="P87" s="32" t="s">
        <v>680</v>
      </c>
      <c r="Q87" s="31">
        <f>2173.5</f>
        <v>2173.5</v>
      </c>
      <c r="R87" s="32" t="s">
        <v>777</v>
      </c>
      <c r="S87" s="33">
        <f>2168.36</f>
        <v>2168.36</v>
      </c>
      <c r="T87" s="30">
        <f>83440</f>
        <v>83440</v>
      </c>
      <c r="U87" s="30">
        <f>1300</f>
        <v>1300</v>
      </c>
      <c r="V87" s="30">
        <f>180123160</f>
        <v>180123160</v>
      </c>
      <c r="W87" s="30">
        <f>2793920</f>
        <v>2793920</v>
      </c>
      <c r="X87" s="34">
        <f>21</f>
        <v>21</v>
      </c>
    </row>
    <row r="88" spans="1:24">
      <c r="A88" s="25" t="s">
        <v>1144</v>
      </c>
      <c r="B88" s="25" t="s">
        <v>246</v>
      </c>
      <c r="C88" s="25" t="s">
        <v>247</v>
      </c>
      <c r="D88" s="25" t="s">
        <v>248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79580</f>
        <v>79580</v>
      </c>
      <c r="L88" s="32" t="s">
        <v>1110</v>
      </c>
      <c r="M88" s="31">
        <f>80050</f>
        <v>80050</v>
      </c>
      <c r="N88" s="32" t="s">
        <v>777</v>
      </c>
      <c r="O88" s="31">
        <f>75510</f>
        <v>75510</v>
      </c>
      <c r="P88" s="32" t="s">
        <v>680</v>
      </c>
      <c r="Q88" s="31">
        <f>79930</f>
        <v>79930</v>
      </c>
      <c r="R88" s="32" t="s">
        <v>777</v>
      </c>
      <c r="S88" s="33">
        <f>78462.38</f>
        <v>78462.38</v>
      </c>
      <c r="T88" s="30">
        <f>74192</f>
        <v>74192</v>
      </c>
      <c r="U88" s="30">
        <f>571</f>
        <v>571</v>
      </c>
      <c r="V88" s="30">
        <f>5817349220</f>
        <v>5817349220</v>
      </c>
      <c r="W88" s="30">
        <f>44816460</f>
        <v>44816460</v>
      </c>
      <c r="X88" s="34">
        <f>21</f>
        <v>21</v>
      </c>
    </row>
    <row r="89" spans="1:24">
      <c r="A89" s="25" t="s">
        <v>1144</v>
      </c>
      <c r="B89" s="25" t="s">
        <v>249</v>
      </c>
      <c r="C89" s="25" t="s">
        <v>250</v>
      </c>
      <c r="D89" s="25" t="s">
        <v>251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3215</f>
        <v>3215</v>
      </c>
      <c r="L89" s="32" t="s">
        <v>1110</v>
      </c>
      <c r="M89" s="31">
        <f>3245</f>
        <v>3245</v>
      </c>
      <c r="N89" s="32" t="s">
        <v>1113</v>
      </c>
      <c r="O89" s="31">
        <f>3100</f>
        <v>3100</v>
      </c>
      <c r="P89" s="32" t="s">
        <v>683</v>
      </c>
      <c r="Q89" s="31">
        <f>3205</f>
        <v>3205</v>
      </c>
      <c r="R89" s="32" t="s">
        <v>777</v>
      </c>
      <c r="S89" s="33">
        <f>3196.67</f>
        <v>3196.67</v>
      </c>
      <c r="T89" s="30">
        <f>8457</f>
        <v>8457</v>
      </c>
      <c r="U89" s="30" t="str">
        <f>"－"</f>
        <v>－</v>
      </c>
      <c r="V89" s="30">
        <f>26907340</f>
        <v>26907340</v>
      </c>
      <c r="W89" s="30" t="str">
        <f>"－"</f>
        <v>－</v>
      </c>
      <c r="X89" s="34">
        <f>21</f>
        <v>21</v>
      </c>
    </row>
    <row r="90" spans="1:24">
      <c r="A90" s="25" t="s">
        <v>1144</v>
      </c>
      <c r="B90" s="25" t="s">
        <v>252</v>
      </c>
      <c r="C90" s="25" t="s">
        <v>253</v>
      </c>
      <c r="D90" s="25" t="s">
        <v>254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4700</f>
        <v>4700</v>
      </c>
      <c r="L90" s="32" t="s">
        <v>1110</v>
      </c>
      <c r="M90" s="31">
        <f>4995</f>
        <v>4995</v>
      </c>
      <c r="N90" s="32" t="s">
        <v>679</v>
      </c>
      <c r="O90" s="31">
        <f>4670</f>
        <v>4670</v>
      </c>
      <c r="P90" s="32" t="s">
        <v>760</v>
      </c>
      <c r="Q90" s="31">
        <f>4940</f>
        <v>4940</v>
      </c>
      <c r="R90" s="32" t="s">
        <v>777</v>
      </c>
      <c r="S90" s="33">
        <f>4799.52</f>
        <v>4799.5200000000004</v>
      </c>
      <c r="T90" s="30">
        <f>8655</f>
        <v>8655</v>
      </c>
      <c r="U90" s="30" t="str">
        <f>"－"</f>
        <v>－</v>
      </c>
      <c r="V90" s="30">
        <f>41589795</f>
        <v>41589795</v>
      </c>
      <c r="W90" s="30" t="str">
        <f>"－"</f>
        <v>－</v>
      </c>
      <c r="X90" s="34">
        <f>21</f>
        <v>21</v>
      </c>
    </row>
    <row r="91" spans="1:24">
      <c r="A91" s="25" t="s">
        <v>1144</v>
      </c>
      <c r="B91" s="25" t="s">
        <v>255</v>
      </c>
      <c r="C91" s="25" t="s">
        <v>856</v>
      </c>
      <c r="D91" s="25" t="s">
        <v>857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2608</f>
        <v>2608</v>
      </c>
      <c r="L91" s="32" t="s">
        <v>1110</v>
      </c>
      <c r="M91" s="31">
        <f>2608</f>
        <v>2608</v>
      </c>
      <c r="N91" s="32" t="s">
        <v>1110</v>
      </c>
      <c r="O91" s="31">
        <f>2163</f>
        <v>2163</v>
      </c>
      <c r="P91" s="32" t="s">
        <v>676</v>
      </c>
      <c r="Q91" s="31">
        <f>2174</f>
        <v>2174</v>
      </c>
      <c r="R91" s="32" t="s">
        <v>777</v>
      </c>
      <c r="S91" s="33">
        <f>2333.48</f>
        <v>2333.48</v>
      </c>
      <c r="T91" s="30">
        <f>1631036</f>
        <v>1631036</v>
      </c>
      <c r="U91" s="30">
        <f>40021</f>
        <v>40021</v>
      </c>
      <c r="V91" s="30">
        <f>3769217071</f>
        <v>3769217071</v>
      </c>
      <c r="W91" s="30">
        <f>90224060</f>
        <v>90224060</v>
      </c>
      <c r="X91" s="34">
        <f>21</f>
        <v>21</v>
      </c>
    </row>
    <row r="92" spans="1:24">
      <c r="A92" s="25" t="s">
        <v>1144</v>
      </c>
      <c r="B92" s="25" t="s">
        <v>256</v>
      </c>
      <c r="C92" s="25" t="s">
        <v>257</v>
      </c>
      <c r="D92" s="25" t="s">
        <v>258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</v>
      </c>
      <c r="K92" s="31">
        <f>49650</f>
        <v>49650</v>
      </c>
      <c r="L92" s="32" t="s">
        <v>1110</v>
      </c>
      <c r="M92" s="31">
        <f>50300</f>
        <v>50300</v>
      </c>
      <c r="N92" s="32" t="s">
        <v>777</v>
      </c>
      <c r="O92" s="31">
        <f>48400</f>
        <v>48400</v>
      </c>
      <c r="P92" s="32" t="s">
        <v>680</v>
      </c>
      <c r="Q92" s="31">
        <f>50090</f>
        <v>50090</v>
      </c>
      <c r="R92" s="32" t="s">
        <v>777</v>
      </c>
      <c r="S92" s="33">
        <f>49575.71</f>
        <v>49575.71</v>
      </c>
      <c r="T92" s="30">
        <f>11053</f>
        <v>11053</v>
      </c>
      <c r="U92" s="30">
        <f>203</f>
        <v>203</v>
      </c>
      <c r="V92" s="30">
        <f>546849681</f>
        <v>546849681</v>
      </c>
      <c r="W92" s="30">
        <f>9973471</f>
        <v>9973471</v>
      </c>
      <c r="X92" s="34">
        <f>21</f>
        <v>21</v>
      </c>
    </row>
    <row r="93" spans="1:24">
      <c r="A93" s="25" t="s">
        <v>1144</v>
      </c>
      <c r="B93" s="25" t="s">
        <v>259</v>
      </c>
      <c r="C93" s="25" t="s">
        <v>260</v>
      </c>
      <c r="D93" s="25" t="s">
        <v>261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50850</f>
        <v>50850</v>
      </c>
      <c r="L93" s="32" t="s">
        <v>1110</v>
      </c>
      <c r="M93" s="31">
        <f>51000</f>
        <v>51000</v>
      </c>
      <c r="N93" s="32" t="s">
        <v>1110</v>
      </c>
      <c r="O93" s="31">
        <f>44290</f>
        <v>44290</v>
      </c>
      <c r="P93" s="32" t="s">
        <v>680</v>
      </c>
      <c r="Q93" s="31">
        <f>49240</f>
        <v>49240</v>
      </c>
      <c r="R93" s="32" t="s">
        <v>777</v>
      </c>
      <c r="S93" s="33">
        <f>48161.43</f>
        <v>48161.43</v>
      </c>
      <c r="T93" s="30">
        <f>2024650</f>
        <v>2024650</v>
      </c>
      <c r="U93" s="30">
        <f>2670</f>
        <v>2670</v>
      </c>
      <c r="V93" s="30">
        <f>97431887325</f>
        <v>97431887325</v>
      </c>
      <c r="W93" s="30">
        <f>127018125</f>
        <v>127018125</v>
      </c>
      <c r="X93" s="34">
        <f>21</f>
        <v>21</v>
      </c>
    </row>
    <row r="94" spans="1:24">
      <c r="A94" s="25" t="s">
        <v>1144</v>
      </c>
      <c r="B94" s="25" t="s">
        <v>262</v>
      </c>
      <c r="C94" s="25" t="s">
        <v>263</v>
      </c>
      <c r="D94" s="25" t="s">
        <v>264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1309</f>
        <v>1309</v>
      </c>
      <c r="L94" s="32" t="s">
        <v>1110</v>
      </c>
      <c r="M94" s="31">
        <f>1397.5</f>
        <v>1397.5</v>
      </c>
      <c r="N94" s="32" t="s">
        <v>680</v>
      </c>
      <c r="O94" s="31">
        <f>1308</f>
        <v>1308</v>
      </c>
      <c r="P94" s="32" t="s">
        <v>1110</v>
      </c>
      <c r="Q94" s="31">
        <f>1323.5</f>
        <v>1323.5</v>
      </c>
      <c r="R94" s="32" t="s">
        <v>777</v>
      </c>
      <c r="S94" s="33">
        <f>1342.76</f>
        <v>1342.76</v>
      </c>
      <c r="T94" s="30">
        <f>10800420</f>
        <v>10800420</v>
      </c>
      <c r="U94" s="30">
        <f>8985230</f>
        <v>8985230</v>
      </c>
      <c r="V94" s="30">
        <f>14434647780</f>
        <v>14434647780</v>
      </c>
      <c r="W94" s="30">
        <f>11987836440</f>
        <v>11987836440</v>
      </c>
      <c r="X94" s="34">
        <f>21</f>
        <v>21</v>
      </c>
    </row>
    <row r="95" spans="1:24">
      <c r="A95" s="25" t="s">
        <v>1144</v>
      </c>
      <c r="B95" s="25" t="s">
        <v>265</v>
      </c>
      <c r="C95" s="25" t="s">
        <v>266</v>
      </c>
      <c r="D95" s="25" t="s">
        <v>267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31350</f>
        <v>31350</v>
      </c>
      <c r="L95" s="32" t="s">
        <v>1110</v>
      </c>
      <c r="M95" s="31">
        <f>31400</f>
        <v>31400</v>
      </c>
      <c r="N95" s="32" t="s">
        <v>1110</v>
      </c>
      <c r="O95" s="31">
        <f>25445</f>
        <v>25445</v>
      </c>
      <c r="P95" s="32" t="s">
        <v>680</v>
      </c>
      <c r="Q95" s="31">
        <f>27705</f>
        <v>27705</v>
      </c>
      <c r="R95" s="32" t="s">
        <v>777</v>
      </c>
      <c r="S95" s="33">
        <f>28379.76</f>
        <v>28379.759999999998</v>
      </c>
      <c r="T95" s="30">
        <f>122508101</f>
        <v>122508101</v>
      </c>
      <c r="U95" s="30">
        <f>259840</f>
        <v>259840</v>
      </c>
      <c r="V95" s="30">
        <f>3454057188275</f>
        <v>3454057188275</v>
      </c>
      <c r="W95" s="30">
        <f>7207729580</f>
        <v>7207729580</v>
      </c>
      <c r="X95" s="34">
        <f>21</f>
        <v>21</v>
      </c>
    </row>
    <row r="96" spans="1:24">
      <c r="A96" s="25" t="s">
        <v>1144</v>
      </c>
      <c r="B96" s="25" t="s">
        <v>268</v>
      </c>
      <c r="C96" s="25" t="s">
        <v>269</v>
      </c>
      <c r="D96" s="25" t="s">
        <v>270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599</f>
        <v>599</v>
      </c>
      <c r="L96" s="32" t="s">
        <v>1110</v>
      </c>
      <c r="M96" s="31">
        <f>662</f>
        <v>662</v>
      </c>
      <c r="N96" s="32" t="s">
        <v>680</v>
      </c>
      <c r="O96" s="31">
        <f>599</f>
        <v>599</v>
      </c>
      <c r="P96" s="32" t="s">
        <v>1110</v>
      </c>
      <c r="Q96" s="31">
        <f>633</f>
        <v>633</v>
      </c>
      <c r="R96" s="32" t="s">
        <v>777</v>
      </c>
      <c r="S96" s="33">
        <f>628.67</f>
        <v>628.66999999999996</v>
      </c>
      <c r="T96" s="30">
        <f>81947645</f>
        <v>81947645</v>
      </c>
      <c r="U96" s="30">
        <f>12720988</f>
        <v>12720988</v>
      </c>
      <c r="V96" s="30">
        <f>51501575354</f>
        <v>51501575354</v>
      </c>
      <c r="W96" s="30">
        <f>7821861807</f>
        <v>7821861807</v>
      </c>
      <c r="X96" s="34">
        <f>21</f>
        <v>21</v>
      </c>
    </row>
    <row r="97" spans="1:24">
      <c r="A97" s="25" t="s">
        <v>1144</v>
      </c>
      <c r="B97" s="25" t="s">
        <v>271</v>
      </c>
      <c r="C97" s="25" t="s">
        <v>272</v>
      </c>
      <c r="D97" s="25" t="s">
        <v>273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3654</f>
        <v>3654</v>
      </c>
      <c r="L97" s="32" t="s">
        <v>1110</v>
      </c>
      <c r="M97" s="31">
        <f>4350</f>
        <v>4350</v>
      </c>
      <c r="N97" s="32" t="s">
        <v>777</v>
      </c>
      <c r="O97" s="31">
        <f>3455</f>
        <v>3455</v>
      </c>
      <c r="P97" s="32" t="s">
        <v>680</v>
      </c>
      <c r="Q97" s="31">
        <f>4266</f>
        <v>4266</v>
      </c>
      <c r="R97" s="32" t="s">
        <v>777</v>
      </c>
      <c r="S97" s="33">
        <f>3764.9</f>
        <v>3764.9</v>
      </c>
      <c r="T97" s="30">
        <f>754610</f>
        <v>754610</v>
      </c>
      <c r="U97" s="30" t="str">
        <f>"－"</f>
        <v>－</v>
      </c>
      <c r="V97" s="30">
        <f>2843103280</f>
        <v>2843103280</v>
      </c>
      <c r="W97" s="30" t="str">
        <f>"－"</f>
        <v>－</v>
      </c>
      <c r="X97" s="34">
        <f>21</f>
        <v>21</v>
      </c>
    </row>
    <row r="98" spans="1:24">
      <c r="A98" s="25" t="s">
        <v>1144</v>
      </c>
      <c r="B98" s="25" t="s">
        <v>274</v>
      </c>
      <c r="C98" s="25" t="s">
        <v>275</v>
      </c>
      <c r="D98" s="25" t="s">
        <v>276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12960</f>
        <v>12960</v>
      </c>
      <c r="L98" s="32" t="s">
        <v>1110</v>
      </c>
      <c r="M98" s="31">
        <f>13480</f>
        <v>13480</v>
      </c>
      <c r="N98" s="32" t="s">
        <v>682</v>
      </c>
      <c r="O98" s="31">
        <f>12200</f>
        <v>12200</v>
      </c>
      <c r="P98" s="32" t="s">
        <v>777</v>
      </c>
      <c r="Q98" s="31">
        <f>12475</f>
        <v>12475</v>
      </c>
      <c r="R98" s="32" t="s">
        <v>777</v>
      </c>
      <c r="S98" s="33">
        <f>12892.38</f>
        <v>12892.38</v>
      </c>
      <c r="T98" s="30">
        <f>35440</f>
        <v>35440</v>
      </c>
      <c r="U98" s="30" t="str">
        <f>"－"</f>
        <v>－</v>
      </c>
      <c r="V98" s="30">
        <f>456958550</f>
        <v>456958550</v>
      </c>
      <c r="W98" s="30" t="str">
        <f>"－"</f>
        <v>－</v>
      </c>
      <c r="X98" s="34">
        <f>21</f>
        <v>21</v>
      </c>
    </row>
    <row r="99" spans="1:24">
      <c r="A99" s="25" t="s">
        <v>1144</v>
      </c>
      <c r="B99" s="25" t="s">
        <v>277</v>
      </c>
      <c r="C99" s="25" t="s">
        <v>278</v>
      </c>
      <c r="D99" s="25" t="s">
        <v>972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38570</f>
        <v>38570</v>
      </c>
      <c r="L99" s="32" t="s">
        <v>1110</v>
      </c>
      <c r="M99" s="31">
        <f>38570</f>
        <v>38570</v>
      </c>
      <c r="N99" s="32" t="s">
        <v>1110</v>
      </c>
      <c r="O99" s="31">
        <f>36000</f>
        <v>36000</v>
      </c>
      <c r="P99" s="32" t="s">
        <v>1145</v>
      </c>
      <c r="Q99" s="31">
        <f>37760</f>
        <v>37760</v>
      </c>
      <c r="R99" s="32" t="s">
        <v>777</v>
      </c>
      <c r="S99" s="33">
        <f>37233.81</f>
        <v>37233.81</v>
      </c>
      <c r="T99" s="30">
        <f>167820</f>
        <v>167820</v>
      </c>
      <c r="U99" s="30">
        <f>63578</f>
        <v>63578</v>
      </c>
      <c r="V99" s="30">
        <f>6228112119</f>
        <v>6228112119</v>
      </c>
      <c r="W99" s="30">
        <f>2349046549</f>
        <v>2349046549</v>
      </c>
      <c r="X99" s="34">
        <f>21</f>
        <v>21</v>
      </c>
    </row>
    <row r="100" spans="1:24">
      <c r="A100" s="25" t="s">
        <v>1144</v>
      </c>
      <c r="B100" s="25" t="s">
        <v>279</v>
      </c>
      <c r="C100" s="25" t="s">
        <v>280</v>
      </c>
      <c r="D100" s="25" t="s">
        <v>281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3260</f>
        <v>3260</v>
      </c>
      <c r="L100" s="32" t="s">
        <v>1110</v>
      </c>
      <c r="M100" s="31">
        <f>3265</f>
        <v>3265</v>
      </c>
      <c r="N100" s="32" t="s">
        <v>1110</v>
      </c>
      <c r="O100" s="31">
        <f>2946</f>
        <v>2946</v>
      </c>
      <c r="P100" s="32" t="s">
        <v>680</v>
      </c>
      <c r="Q100" s="31">
        <f>3075</f>
        <v>3075</v>
      </c>
      <c r="R100" s="32" t="s">
        <v>777</v>
      </c>
      <c r="S100" s="33">
        <f>3110.38</f>
        <v>3110.38</v>
      </c>
      <c r="T100" s="30">
        <f>251267</f>
        <v>251267</v>
      </c>
      <c r="U100" s="30">
        <f>303</f>
        <v>303</v>
      </c>
      <c r="V100" s="30">
        <f>766686885</f>
        <v>766686885</v>
      </c>
      <c r="W100" s="30">
        <f>928550</f>
        <v>928550</v>
      </c>
      <c r="X100" s="34">
        <f>21</f>
        <v>21</v>
      </c>
    </row>
    <row r="101" spans="1:24">
      <c r="A101" s="25" t="s">
        <v>1144</v>
      </c>
      <c r="B101" s="25" t="s">
        <v>282</v>
      </c>
      <c r="C101" s="25" t="s">
        <v>283</v>
      </c>
      <c r="D101" s="25" t="s">
        <v>284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33510</f>
        <v>33510</v>
      </c>
      <c r="L101" s="32" t="s">
        <v>1110</v>
      </c>
      <c r="M101" s="31">
        <f>33550</f>
        <v>33550</v>
      </c>
      <c r="N101" s="32" t="s">
        <v>1110</v>
      </c>
      <c r="O101" s="31">
        <f>27190</f>
        <v>27190</v>
      </c>
      <c r="P101" s="32" t="s">
        <v>680</v>
      </c>
      <c r="Q101" s="31">
        <f>29630</f>
        <v>29630</v>
      </c>
      <c r="R101" s="32" t="s">
        <v>777</v>
      </c>
      <c r="S101" s="33">
        <f>30321.19</f>
        <v>30321.19</v>
      </c>
      <c r="T101" s="30">
        <f>8522410</f>
        <v>8522410</v>
      </c>
      <c r="U101" s="30">
        <f>59270</f>
        <v>59270</v>
      </c>
      <c r="V101" s="30">
        <f>256825548332</f>
        <v>256825548332</v>
      </c>
      <c r="W101" s="30">
        <f>1731268332</f>
        <v>1731268332</v>
      </c>
      <c r="X101" s="34">
        <f>21</f>
        <v>21</v>
      </c>
    </row>
    <row r="102" spans="1:24">
      <c r="A102" s="25" t="s">
        <v>1144</v>
      </c>
      <c r="B102" s="25" t="s">
        <v>285</v>
      </c>
      <c r="C102" s="25" t="s">
        <v>286</v>
      </c>
      <c r="D102" s="25" t="s">
        <v>287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1589.5</f>
        <v>1589.5</v>
      </c>
      <c r="L102" s="32" t="s">
        <v>1110</v>
      </c>
      <c r="M102" s="31">
        <f>1755</f>
        <v>1755</v>
      </c>
      <c r="N102" s="32" t="s">
        <v>680</v>
      </c>
      <c r="O102" s="31">
        <f>1589.5</f>
        <v>1589.5</v>
      </c>
      <c r="P102" s="32" t="s">
        <v>1110</v>
      </c>
      <c r="Q102" s="31">
        <f>1679.5</f>
        <v>1679.5</v>
      </c>
      <c r="R102" s="32" t="s">
        <v>777</v>
      </c>
      <c r="S102" s="33">
        <f>1667.88</f>
        <v>1667.88</v>
      </c>
      <c r="T102" s="30">
        <f>7150360</f>
        <v>7150360</v>
      </c>
      <c r="U102" s="30">
        <f>2429400</f>
        <v>2429400</v>
      </c>
      <c r="V102" s="30">
        <f>11868178659</f>
        <v>11868178659</v>
      </c>
      <c r="W102" s="30">
        <f>3966812324</f>
        <v>3966812324</v>
      </c>
      <c r="X102" s="34">
        <f>21</f>
        <v>21</v>
      </c>
    </row>
    <row r="103" spans="1:24">
      <c r="A103" s="25" t="s">
        <v>1144</v>
      </c>
      <c r="B103" s="25" t="s">
        <v>288</v>
      </c>
      <c r="C103" s="25" t="s">
        <v>922</v>
      </c>
      <c r="D103" s="25" t="s">
        <v>923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1939</f>
        <v>1939</v>
      </c>
      <c r="L103" s="32" t="s">
        <v>1110</v>
      </c>
      <c r="M103" s="31">
        <f>1939</f>
        <v>1939</v>
      </c>
      <c r="N103" s="32" t="s">
        <v>1110</v>
      </c>
      <c r="O103" s="31">
        <f>1816</f>
        <v>1816</v>
      </c>
      <c r="P103" s="32" t="s">
        <v>680</v>
      </c>
      <c r="Q103" s="31">
        <f>1903</f>
        <v>1903</v>
      </c>
      <c r="R103" s="32" t="s">
        <v>777</v>
      </c>
      <c r="S103" s="33">
        <f>1891.19</f>
        <v>1891.19</v>
      </c>
      <c r="T103" s="30">
        <f>18070</f>
        <v>18070</v>
      </c>
      <c r="U103" s="30" t="str">
        <f>"－"</f>
        <v>－</v>
      </c>
      <c r="V103" s="30">
        <f>34080030</f>
        <v>34080030</v>
      </c>
      <c r="W103" s="30" t="str">
        <f>"－"</f>
        <v>－</v>
      </c>
      <c r="X103" s="34">
        <f>21</f>
        <v>21</v>
      </c>
    </row>
    <row r="104" spans="1:24">
      <c r="A104" s="25" t="s">
        <v>1144</v>
      </c>
      <c r="B104" s="25" t="s">
        <v>289</v>
      </c>
      <c r="C104" s="25" t="s">
        <v>290</v>
      </c>
      <c r="D104" s="25" t="s">
        <v>291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2264</f>
        <v>2264</v>
      </c>
      <c r="L104" s="32" t="s">
        <v>1110</v>
      </c>
      <c r="M104" s="31">
        <f>2264</f>
        <v>2264</v>
      </c>
      <c r="N104" s="32" t="s">
        <v>1110</v>
      </c>
      <c r="O104" s="31">
        <f>2115</f>
        <v>2115</v>
      </c>
      <c r="P104" s="32" t="s">
        <v>874</v>
      </c>
      <c r="Q104" s="31">
        <f>2230</f>
        <v>2230</v>
      </c>
      <c r="R104" s="32" t="s">
        <v>777</v>
      </c>
      <c r="S104" s="33">
        <f>2204.71</f>
        <v>2204.71</v>
      </c>
      <c r="T104" s="30">
        <f>15818</f>
        <v>15818</v>
      </c>
      <c r="U104" s="30" t="str">
        <f>"－"</f>
        <v>－</v>
      </c>
      <c r="V104" s="30">
        <f>34252818</f>
        <v>34252818</v>
      </c>
      <c r="W104" s="30" t="str">
        <f>"－"</f>
        <v>－</v>
      </c>
      <c r="X104" s="34">
        <f>21</f>
        <v>21</v>
      </c>
    </row>
    <row r="105" spans="1:24">
      <c r="A105" s="25" t="s">
        <v>1144</v>
      </c>
      <c r="B105" s="25" t="s">
        <v>292</v>
      </c>
      <c r="C105" s="25" t="s">
        <v>293</v>
      </c>
      <c r="D105" s="25" t="s">
        <v>294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25495</f>
        <v>25495</v>
      </c>
      <c r="L105" s="32" t="s">
        <v>1110</v>
      </c>
      <c r="M105" s="31">
        <f>25545</f>
        <v>25545</v>
      </c>
      <c r="N105" s="32" t="s">
        <v>1110</v>
      </c>
      <c r="O105" s="31">
        <f>23590</f>
        <v>23590</v>
      </c>
      <c r="P105" s="32" t="s">
        <v>680</v>
      </c>
      <c r="Q105" s="31">
        <f>25000</f>
        <v>25000</v>
      </c>
      <c r="R105" s="32" t="s">
        <v>777</v>
      </c>
      <c r="S105" s="33">
        <f>24629.29</f>
        <v>24629.29</v>
      </c>
      <c r="T105" s="30">
        <f>92886</f>
        <v>92886</v>
      </c>
      <c r="U105" s="30">
        <f>31036</f>
        <v>31036</v>
      </c>
      <c r="V105" s="30">
        <f>2283572080</f>
        <v>2283572080</v>
      </c>
      <c r="W105" s="30">
        <f>760434395</f>
        <v>760434395</v>
      </c>
      <c r="X105" s="34">
        <f>21</f>
        <v>21</v>
      </c>
    </row>
    <row r="106" spans="1:24">
      <c r="A106" s="25" t="s">
        <v>1144</v>
      </c>
      <c r="B106" s="25" t="s">
        <v>295</v>
      </c>
      <c r="C106" s="25" t="s">
        <v>296</v>
      </c>
      <c r="D106" s="25" t="s">
        <v>297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2324</f>
        <v>2324</v>
      </c>
      <c r="L106" s="32" t="s">
        <v>1110</v>
      </c>
      <c r="M106" s="31">
        <f>2326</f>
        <v>2326</v>
      </c>
      <c r="N106" s="32" t="s">
        <v>1110</v>
      </c>
      <c r="O106" s="31">
        <f>2179</f>
        <v>2179</v>
      </c>
      <c r="P106" s="32" t="s">
        <v>680</v>
      </c>
      <c r="Q106" s="31">
        <f>2300</f>
        <v>2300</v>
      </c>
      <c r="R106" s="32" t="s">
        <v>777</v>
      </c>
      <c r="S106" s="33">
        <f>2273.14</f>
        <v>2273.14</v>
      </c>
      <c r="T106" s="30">
        <f>434665</f>
        <v>434665</v>
      </c>
      <c r="U106" s="30">
        <f>221631</f>
        <v>221631</v>
      </c>
      <c r="V106" s="30">
        <f>984812239</f>
        <v>984812239</v>
      </c>
      <c r="W106" s="30">
        <f>499999536</f>
        <v>499999536</v>
      </c>
      <c r="X106" s="34">
        <f>21</f>
        <v>21</v>
      </c>
    </row>
    <row r="107" spans="1:24">
      <c r="A107" s="25" t="s">
        <v>1144</v>
      </c>
      <c r="B107" s="25" t="s">
        <v>298</v>
      </c>
      <c r="C107" s="25" t="s">
        <v>299</v>
      </c>
      <c r="D107" s="25" t="s">
        <v>300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25985</f>
        <v>25985</v>
      </c>
      <c r="L107" s="32" t="s">
        <v>1110</v>
      </c>
      <c r="M107" s="31">
        <f>25985</f>
        <v>25985</v>
      </c>
      <c r="N107" s="32" t="s">
        <v>1110</v>
      </c>
      <c r="O107" s="31">
        <f>24360</f>
        <v>24360</v>
      </c>
      <c r="P107" s="32" t="s">
        <v>680</v>
      </c>
      <c r="Q107" s="31">
        <f>25725</f>
        <v>25725</v>
      </c>
      <c r="R107" s="32" t="s">
        <v>777</v>
      </c>
      <c r="S107" s="33">
        <f>25376.67</f>
        <v>25376.67</v>
      </c>
      <c r="T107" s="30">
        <f>74941</f>
        <v>74941</v>
      </c>
      <c r="U107" s="30">
        <f>38567</f>
        <v>38567</v>
      </c>
      <c r="V107" s="30">
        <f>1905828840</f>
        <v>1905828840</v>
      </c>
      <c r="W107" s="30">
        <f>977294590</f>
        <v>977294590</v>
      </c>
      <c r="X107" s="34">
        <f>21</f>
        <v>21</v>
      </c>
    </row>
    <row r="108" spans="1:24">
      <c r="A108" s="25" t="s">
        <v>1144</v>
      </c>
      <c r="B108" s="25" t="s">
        <v>301</v>
      </c>
      <c r="C108" s="25" t="s">
        <v>302</v>
      </c>
      <c r="D108" s="25" t="s">
        <v>303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1845.5</f>
        <v>1845.5</v>
      </c>
      <c r="L108" s="32" t="s">
        <v>1110</v>
      </c>
      <c r="M108" s="31">
        <f>1867</f>
        <v>1867</v>
      </c>
      <c r="N108" s="32" t="s">
        <v>759</v>
      </c>
      <c r="O108" s="31">
        <f>1795</f>
        <v>1795</v>
      </c>
      <c r="P108" s="32" t="s">
        <v>674</v>
      </c>
      <c r="Q108" s="31">
        <f>1843</f>
        <v>1843</v>
      </c>
      <c r="R108" s="32" t="s">
        <v>777</v>
      </c>
      <c r="S108" s="33">
        <f>1826.17</f>
        <v>1826.17</v>
      </c>
      <c r="T108" s="30">
        <f>2209350</f>
        <v>2209350</v>
      </c>
      <c r="U108" s="30">
        <f>418360</f>
        <v>418360</v>
      </c>
      <c r="V108" s="30">
        <f>4042963076</f>
        <v>4042963076</v>
      </c>
      <c r="W108" s="30">
        <f>771192381</f>
        <v>771192381</v>
      </c>
      <c r="X108" s="34">
        <f>21</f>
        <v>21</v>
      </c>
    </row>
    <row r="109" spans="1:24">
      <c r="A109" s="25" t="s">
        <v>1144</v>
      </c>
      <c r="B109" s="25" t="s">
        <v>304</v>
      </c>
      <c r="C109" s="25" t="s">
        <v>305</v>
      </c>
      <c r="D109" s="25" t="s">
        <v>306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 t="str">
        <f>"－"</f>
        <v>－</v>
      </c>
      <c r="L109" s="32"/>
      <c r="M109" s="31" t="str">
        <f>"－"</f>
        <v>－</v>
      </c>
      <c r="N109" s="32"/>
      <c r="O109" s="31" t="str">
        <f>"－"</f>
        <v>－</v>
      </c>
      <c r="P109" s="32"/>
      <c r="Q109" s="31" t="str">
        <f>"－"</f>
        <v>－</v>
      </c>
      <c r="R109" s="32"/>
      <c r="S109" s="33" t="str">
        <f t="shared" ref="S109:X109" si="0">"－"</f>
        <v>－</v>
      </c>
      <c r="T109" s="30" t="str">
        <f t="shared" si="0"/>
        <v>－</v>
      </c>
      <c r="U109" s="30" t="str">
        <f t="shared" si="0"/>
        <v>－</v>
      </c>
      <c r="V109" s="30" t="str">
        <f t="shared" si="0"/>
        <v>－</v>
      </c>
      <c r="W109" s="30" t="str">
        <f t="shared" si="0"/>
        <v>－</v>
      </c>
      <c r="X109" s="34" t="str">
        <f t="shared" si="0"/>
        <v>－</v>
      </c>
    </row>
    <row r="110" spans="1:24">
      <c r="A110" s="25" t="s">
        <v>1144</v>
      </c>
      <c r="B110" s="25" t="s">
        <v>307</v>
      </c>
      <c r="C110" s="25" t="s">
        <v>308</v>
      </c>
      <c r="D110" s="25" t="s">
        <v>309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1852.5</f>
        <v>1852.5</v>
      </c>
      <c r="L110" s="32" t="s">
        <v>1110</v>
      </c>
      <c r="M110" s="31">
        <f>1867</f>
        <v>1867</v>
      </c>
      <c r="N110" s="32" t="s">
        <v>778</v>
      </c>
      <c r="O110" s="31">
        <f>1789</f>
        <v>1789</v>
      </c>
      <c r="P110" s="32" t="s">
        <v>674</v>
      </c>
      <c r="Q110" s="31">
        <f>1860</f>
        <v>1860</v>
      </c>
      <c r="R110" s="32" t="s">
        <v>777</v>
      </c>
      <c r="S110" s="33">
        <f>1832.07</f>
        <v>1832.07</v>
      </c>
      <c r="T110" s="30">
        <f>2301260</f>
        <v>2301260</v>
      </c>
      <c r="U110" s="30">
        <f>1021990</f>
        <v>1021990</v>
      </c>
      <c r="V110" s="30">
        <f>4201548453</f>
        <v>4201548453</v>
      </c>
      <c r="W110" s="30">
        <f>1865390803</f>
        <v>1865390803</v>
      </c>
      <c r="X110" s="34">
        <f>21</f>
        <v>21</v>
      </c>
    </row>
    <row r="111" spans="1:24">
      <c r="A111" s="25" t="s">
        <v>1144</v>
      </c>
      <c r="B111" s="25" t="s">
        <v>310</v>
      </c>
      <c r="C111" s="25" t="s">
        <v>924</v>
      </c>
      <c r="D111" s="25" t="s">
        <v>925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</v>
      </c>
      <c r="K111" s="31">
        <f>25690</f>
        <v>25690</v>
      </c>
      <c r="L111" s="32" t="s">
        <v>1110</v>
      </c>
      <c r="M111" s="31">
        <f>25690</f>
        <v>25690</v>
      </c>
      <c r="N111" s="32" t="s">
        <v>1110</v>
      </c>
      <c r="O111" s="31">
        <f>24100</f>
        <v>24100</v>
      </c>
      <c r="P111" s="32" t="s">
        <v>680</v>
      </c>
      <c r="Q111" s="31">
        <f>25180</f>
        <v>25180</v>
      </c>
      <c r="R111" s="32" t="s">
        <v>777</v>
      </c>
      <c r="S111" s="33">
        <f>25155.48</f>
        <v>25155.48</v>
      </c>
      <c r="T111" s="30">
        <f>24269</f>
        <v>24269</v>
      </c>
      <c r="U111" s="30">
        <f>8430</f>
        <v>8430</v>
      </c>
      <c r="V111" s="30">
        <f>610196954</f>
        <v>610196954</v>
      </c>
      <c r="W111" s="30">
        <f>212543904</f>
        <v>212543904</v>
      </c>
      <c r="X111" s="34">
        <f>21</f>
        <v>21</v>
      </c>
    </row>
    <row r="112" spans="1:24">
      <c r="A112" s="25" t="s">
        <v>1144</v>
      </c>
      <c r="B112" s="25" t="s">
        <v>1143</v>
      </c>
      <c r="C112" s="25" t="s">
        <v>1142</v>
      </c>
      <c r="D112" s="25" t="s">
        <v>1141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10</v>
      </c>
      <c r="K112" s="31">
        <f>529</f>
        <v>529</v>
      </c>
      <c r="L112" s="32" t="s">
        <v>1110</v>
      </c>
      <c r="M112" s="31">
        <f>535.5</f>
        <v>535.5</v>
      </c>
      <c r="N112" s="32" t="s">
        <v>1116</v>
      </c>
      <c r="O112" s="31">
        <f>485</f>
        <v>485</v>
      </c>
      <c r="P112" s="32" t="s">
        <v>680</v>
      </c>
      <c r="Q112" s="31">
        <f>514.5</f>
        <v>514.5</v>
      </c>
      <c r="R112" s="32" t="s">
        <v>777</v>
      </c>
      <c r="S112" s="33">
        <f>507.55</f>
        <v>507.55</v>
      </c>
      <c r="T112" s="30">
        <f>2260040</f>
        <v>2260040</v>
      </c>
      <c r="U112" s="30">
        <f>829130</f>
        <v>829130</v>
      </c>
      <c r="V112" s="30">
        <f>1149646494</f>
        <v>1149646494</v>
      </c>
      <c r="W112" s="30">
        <f>420672135</f>
        <v>420672135</v>
      </c>
      <c r="X112" s="34">
        <f>21</f>
        <v>21</v>
      </c>
    </row>
    <row r="113" spans="1:24">
      <c r="A113" s="25" t="s">
        <v>1144</v>
      </c>
      <c r="B113" s="25" t="s">
        <v>311</v>
      </c>
      <c r="C113" s="25" t="s">
        <v>312</v>
      </c>
      <c r="D113" s="25" t="s">
        <v>313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100</v>
      </c>
      <c r="K113" s="31">
        <f>332</f>
        <v>332</v>
      </c>
      <c r="L113" s="32" t="s">
        <v>1110</v>
      </c>
      <c r="M113" s="31">
        <f>336.6</f>
        <v>336.6</v>
      </c>
      <c r="N113" s="32" t="s">
        <v>777</v>
      </c>
      <c r="O113" s="31">
        <f>316.7</f>
        <v>316.7</v>
      </c>
      <c r="P113" s="32" t="s">
        <v>1145</v>
      </c>
      <c r="Q113" s="31">
        <f>335.9</f>
        <v>335.9</v>
      </c>
      <c r="R113" s="32" t="s">
        <v>777</v>
      </c>
      <c r="S113" s="33">
        <f>327.73</f>
        <v>327.73</v>
      </c>
      <c r="T113" s="30">
        <f>107835900</f>
        <v>107835900</v>
      </c>
      <c r="U113" s="30">
        <f>8792200</f>
        <v>8792200</v>
      </c>
      <c r="V113" s="30">
        <f>35336573658</f>
        <v>35336573658</v>
      </c>
      <c r="W113" s="30">
        <f>2899421308</f>
        <v>2899421308</v>
      </c>
      <c r="X113" s="34">
        <f>21</f>
        <v>21</v>
      </c>
    </row>
    <row r="114" spans="1:24">
      <c r="A114" s="25" t="s">
        <v>1144</v>
      </c>
      <c r="B114" s="25" t="s">
        <v>314</v>
      </c>
      <c r="C114" s="25" t="s">
        <v>315</v>
      </c>
      <c r="D114" s="25" t="s">
        <v>316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38080</f>
        <v>38080</v>
      </c>
      <c r="L114" s="32" t="s">
        <v>1110</v>
      </c>
      <c r="M114" s="31">
        <f>38720</f>
        <v>38720</v>
      </c>
      <c r="N114" s="32" t="s">
        <v>777</v>
      </c>
      <c r="O114" s="31">
        <f>36800</f>
        <v>36800</v>
      </c>
      <c r="P114" s="32" t="s">
        <v>680</v>
      </c>
      <c r="Q114" s="31">
        <f>38540</f>
        <v>38540</v>
      </c>
      <c r="R114" s="32" t="s">
        <v>777</v>
      </c>
      <c r="S114" s="33">
        <f>37853.81</f>
        <v>37853.81</v>
      </c>
      <c r="T114" s="30">
        <f>3680</f>
        <v>3680</v>
      </c>
      <c r="U114" s="30">
        <f>1</f>
        <v>1</v>
      </c>
      <c r="V114" s="30">
        <f>138882230</f>
        <v>138882230</v>
      </c>
      <c r="W114" s="30">
        <f>38270</f>
        <v>38270</v>
      </c>
      <c r="X114" s="34">
        <f>21</f>
        <v>21</v>
      </c>
    </row>
    <row r="115" spans="1:24">
      <c r="A115" s="25" t="s">
        <v>1144</v>
      </c>
      <c r="B115" s="25" t="s">
        <v>317</v>
      </c>
      <c r="C115" s="25" t="s">
        <v>318</v>
      </c>
      <c r="D115" s="25" t="s">
        <v>319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22375</f>
        <v>22375</v>
      </c>
      <c r="L115" s="32" t="s">
        <v>1110</v>
      </c>
      <c r="M115" s="31">
        <f>24120</f>
        <v>24120</v>
      </c>
      <c r="N115" s="32" t="s">
        <v>684</v>
      </c>
      <c r="O115" s="31">
        <f>21250</f>
        <v>21250</v>
      </c>
      <c r="P115" s="32" t="s">
        <v>1110</v>
      </c>
      <c r="Q115" s="31">
        <f>22700</f>
        <v>22700</v>
      </c>
      <c r="R115" s="32" t="s">
        <v>777</v>
      </c>
      <c r="S115" s="33">
        <f>22567.62</f>
        <v>22567.62</v>
      </c>
      <c r="T115" s="30">
        <f>28743</f>
        <v>28743</v>
      </c>
      <c r="U115" s="30">
        <f>3</f>
        <v>3</v>
      </c>
      <c r="V115" s="30">
        <f>650690800</f>
        <v>650690800</v>
      </c>
      <c r="W115" s="30">
        <f>69410</f>
        <v>69410</v>
      </c>
      <c r="X115" s="34">
        <f>21</f>
        <v>21</v>
      </c>
    </row>
    <row r="116" spans="1:24">
      <c r="A116" s="25" t="s">
        <v>1144</v>
      </c>
      <c r="B116" s="25" t="s">
        <v>320</v>
      </c>
      <c r="C116" s="25" t="s">
        <v>321</v>
      </c>
      <c r="D116" s="25" t="s">
        <v>322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31210</f>
        <v>31210</v>
      </c>
      <c r="L116" s="32" t="s">
        <v>1110</v>
      </c>
      <c r="M116" s="31">
        <f>31320</f>
        <v>31320</v>
      </c>
      <c r="N116" s="32" t="s">
        <v>777</v>
      </c>
      <c r="O116" s="31">
        <f>29505</f>
        <v>29505</v>
      </c>
      <c r="P116" s="32" t="s">
        <v>680</v>
      </c>
      <c r="Q116" s="31">
        <f>31240</f>
        <v>31240</v>
      </c>
      <c r="R116" s="32" t="s">
        <v>777</v>
      </c>
      <c r="S116" s="33">
        <f>30646.43</f>
        <v>30646.43</v>
      </c>
      <c r="T116" s="30">
        <f>43392</f>
        <v>43392</v>
      </c>
      <c r="U116" s="30">
        <f>36001</f>
        <v>36001</v>
      </c>
      <c r="V116" s="30">
        <f>1339282300</f>
        <v>1339282300</v>
      </c>
      <c r="W116" s="30">
        <f>1112559640</f>
        <v>1112559640</v>
      </c>
      <c r="X116" s="34">
        <f>21</f>
        <v>21</v>
      </c>
    </row>
    <row r="117" spans="1:24">
      <c r="A117" s="25" t="s">
        <v>1144</v>
      </c>
      <c r="B117" s="25" t="s">
        <v>323</v>
      </c>
      <c r="C117" s="25" t="s">
        <v>324</v>
      </c>
      <c r="D117" s="25" t="s">
        <v>325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31500</f>
        <v>31500</v>
      </c>
      <c r="L117" s="32" t="s">
        <v>1110</v>
      </c>
      <c r="M117" s="31">
        <f>31770</f>
        <v>31770</v>
      </c>
      <c r="N117" s="32" t="s">
        <v>677</v>
      </c>
      <c r="O117" s="31">
        <f>30060</f>
        <v>30060</v>
      </c>
      <c r="P117" s="32" t="s">
        <v>676</v>
      </c>
      <c r="Q117" s="31">
        <f>31140</f>
        <v>31140</v>
      </c>
      <c r="R117" s="32" t="s">
        <v>777</v>
      </c>
      <c r="S117" s="33">
        <f>31075.24</f>
        <v>31075.24</v>
      </c>
      <c r="T117" s="30">
        <f>5019</f>
        <v>5019</v>
      </c>
      <c r="U117" s="30" t="str">
        <f>"－"</f>
        <v>－</v>
      </c>
      <c r="V117" s="30">
        <f>155112830</f>
        <v>155112830</v>
      </c>
      <c r="W117" s="30" t="str">
        <f>"－"</f>
        <v>－</v>
      </c>
      <c r="X117" s="34">
        <f>21</f>
        <v>21</v>
      </c>
    </row>
    <row r="118" spans="1:24">
      <c r="A118" s="25" t="s">
        <v>1144</v>
      </c>
      <c r="B118" s="25" t="s">
        <v>326</v>
      </c>
      <c r="C118" s="25" t="s">
        <v>327</v>
      </c>
      <c r="D118" s="25" t="s">
        <v>328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28000</f>
        <v>28000</v>
      </c>
      <c r="L118" s="32" t="s">
        <v>1110</v>
      </c>
      <c r="M118" s="31">
        <f>28255</f>
        <v>28255</v>
      </c>
      <c r="N118" s="32" t="s">
        <v>777</v>
      </c>
      <c r="O118" s="31">
        <f>26200</f>
        <v>26200</v>
      </c>
      <c r="P118" s="32" t="s">
        <v>680</v>
      </c>
      <c r="Q118" s="31">
        <f>28255</f>
        <v>28255</v>
      </c>
      <c r="R118" s="32" t="s">
        <v>777</v>
      </c>
      <c r="S118" s="33">
        <f>27100.71</f>
        <v>27100.71</v>
      </c>
      <c r="T118" s="30">
        <f>19459</f>
        <v>19459</v>
      </c>
      <c r="U118" s="30">
        <f>11000</f>
        <v>11000</v>
      </c>
      <c r="V118" s="30">
        <f>521411335</f>
        <v>521411335</v>
      </c>
      <c r="W118" s="30">
        <f>292340455</f>
        <v>292340455</v>
      </c>
      <c r="X118" s="34">
        <f>21</f>
        <v>21</v>
      </c>
    </row>
    <row r="119" spans="1:24">
      <c r="A119" s="25" t="s">
        <v>1144</v>
      </c>
      <c r="B119" s="25" t="s">
        <v>329</v>
      </c>
      <c r="C119" s="25" t="s">
        <v>330</v>
      </c>
      <c r="D119" s="25" t="s">
        <v>331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38800</f>
        <v>38800</v>
      </c>
      <c r="L119" s="32" t="s">
        <v>1110</v>
      </c>
      <c r="M119" s="31">
        <f>38920</f>
        <v>38920</v>
      </c>
      <c r="N119" s="32" t="s">
        <v>677</v>
      </c>
      <c r="O119" s="31">
        <f>35880</f>
        <v>35880</v>
      </c>
      <c r="P119" s="32" t="s">
        <v>680</v>
      </c>
      <c r="Q119" s="31">
        <f>37650</f>
        <v>37650</v>
      </c>
      <c r="R119" s="32" t="s">
        <v>777</v>
      </c>
      <c r="S119" s="33">
        <f>37474.76</f>
        <v>37474.76</v>
      </c>
      <c r="T119" s="30">
        <f>26103</f>
        <v>26103</v>
      </c>
      <c r="U119" s="30">
        <f>4003</f>
        <v>4003</v>
      </c>
      <c r="V119" s="30">
        <f>976218410</f>
        <v>976218410</v>
      </c>
      <c r="W119" s="30">
        <f>146472720</f>
        <v>146472720</v>
      </c>
      <c r="X119" s="34">
        <f>21</f>
        <v>21</v>
      </c>
    </row>
    <row r="120" spans="1:24">
      <c r="A120" s="25" t="s">
        <v>1144</v>
      </c>
      <c r="B120" s="25" t="s">
        <v>332</v>
      </c>
      <c r="C120" s="25" t="s">
        <v>333</v>
      </c>
      <c r="D120" s="25" t="s">
        <v>334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27600</f>
        <v>27600</v>
      </c>
      <c r="L120" s="32" t="s">
        <v>1110</v>
      </c>
      <c r="M120" s="31">
        <f>29180</f>
        <v>29180</v>
      </c>
      <c r="N120" s="32" t="s">
        <v>760</v>
      </c>
      <c r="O120" s="31">
        <f>26700</f>
        <v>26700</v>
      </c>
      <c r="P120" s="32" t="s">
        <v>680</v>
      </c>
      <c r="Q120" s="31">
        <f>27835</f>
        <v>27835</v>
      </c>
      <c r="R120" s="32" t="s">
        <v>777</v>
      </c>
      <c r="S120" s="33">
        <f>27528.81</f>
        <v>27528.81</v>
      </c>
      <c r="T120" s="30">
        <f>5396</f>
        <v>5396</v>
      </c>
      <c r="U120" s="30" t="str">
        <f>"－"</f>
        <v>－</v>
      </c>
      <c r="V120" s="30">
        <f>149309155</f>
        <v>149309155</v>
      </c>
      <c r="W120" s="30" t="str">
        <f>"－"</f>
        <v>－</v>
      </c>
      <c r="X120" s="34">
        <f>21</f>
        <v>21</v>
      </c>
    </row>
    <row r="121" spans="1:24">
      <c r="A121" s="25" t="s">
        <v>1144</v>
      </c>
      <c r="B121" s="25" t="s">
        <v>335</v>
      </c>
      <c r="C121" s="25" t="s">
        <v>336</v>
      </c>
      <c r="D121" s="25" t="s">
        <v>337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60000</f>
        <v>60000</v>
      </c>
      <c r="L121" s="32" t="s">
        <v>1110</v>
      </c>
      <c r="M121" s="31">
        <f>60080</f>
        <v>60080</v>
      </c>
      <c r="N121" s="32" t="s">
        <v>1110</v>
      </c>
      <c r="O121" s="31">
        <f>55430</f>
        <v>55430</v>
      </c>
      <c r="P121" s="32" t="s">
        <v>680</v>
      </c>
      <c r="Q121" s="31">
        <f>58600</f>
        <v>58600</v>
      </c>
      <c r="R121" s="32" t="s">
        <v>777</v>
      </c>
      <c r="S121" s="33">
        <f>58240.48</f>
        <v>58240.480000000003</v>
      </c>
      <c r="T121" s="30">
        <f>5241</f>
        <v>5241</v>
      </c>
      <c r="U121" s="30">
        <f>1750</f>
        <v>1750</v>
      </c>
      <c r="V121" s="30">
        <f>302234175</f>
        <v>302234175</v>
      </c>
      <c r="W121" s="30">
        <f>98253925</f>
        <v>98253925</v>
      </c>
      <c r="X121" s="34">
        <f>21</f>
        <v>21</v>
      </c>
    </row>
    <row r="122" spans="1:24">
      <c r="A122" s="25" t="s">
        <v>1144</v>
      </c>
      <c r="B122" s="25" t="s">
        <v>338</v>
      </c>
      <c r="C122" s="25" t="s">
        <v>339</v>
      </c>
      <c r="D122" s="25" t="s">
        <v>340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38570</f>
        <v>38570</v>
      </c>
      <c r="L122" s="32" t="s">
        <v>1110</v>
      </c>
      <c r="M122" s="31">
        <f>38680</f>
        <v>38680</v>
      </c>
      <c r="N122" s="32" t="s">
        <v>1110</v>
      </c>
      <c r="O122" s="31">
        <f>35430</f>
        <v>35430</v>
      </c>
      <c r="P122" s="32" t="s">
        <v>680</v>
      </c>
      <c r="Q122" s="31">
        <f>37840</f>
        <v>37840</v>
      </c>
      <c r="R122" s="32" t="s">
        <v>777</v>
      </c>
      <c r="S122" s="33">
        <f>37296.19</f>
        <v>37296.19</v>
      </c>
      <c r="T122" s="30">
        <f>10341</f>
        <v>10341</v>
      </c>
      <c r="U122" s="30">
        <f>6</f>
        <v>6</v>
      </c>
      <c r="V122" s="30">
        <f>383192780</f>
        <v>383192780</v>
      </c>
      <c r="W122" s="30">
        <f>223530</f>
        <v>223530</v>
      </c>
      <c r="X122" s="34">
        <f>21</f>
        <v>21</v>
      </c>
    </row>
    <row r="123" spans="1:24">
      <c r="A123" s="25" t="s">
        <v>1144</v>
      </c>
      <c r="B123" s="25" t="s">
        <v>341</v>
      </c>
      <c r="C123" s="25" t="s">
        <v>342</v>
      </c>
      <c r="D123" s="25" t="s">
        <v>343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34640</f>
        <v>34640</v>
      </c>
      <c r="L123" s="32" t="s">
        <v>1110</v>
      </c>
      <c r="M123" s="31">
        <f>34640</f>
        <v>34640</v>
      </c>
      <c r="N123" s="32" t="s">
        <v>1110</v>
      </c>
      <c r="O123" s="31">
        <f>31660</f>
        <v>31660</v>
      </c>
      <c r="P123" s="32" t="s">
        <v>680</v>
      </c>
      <c r="Q123" s="31">
        <f>33140</f>
        <v>33140</v>
      </c>
      <c r="R123" s="32" t="s">
        <v>777</v>
      </c>
      <c r="S123" s="33">
        <f>33221.43</f>
        <v>33221.43</v>
      </c>
      <c r="T123" s="30">
        <f>10904</f>
        <v>10904</v>
      </c>
      <c r="U123" s="30">
        <f>6000</f>
        <v>6000</v>
      </c>
      <c r="V123" s="30">
        <f>357377870</f>
        <v>357377870</v>
      </c>
      <c r="W123" s="30">
        <f>195719490</f>
        <v>195719490</v>
      </c>
      <c r="X123" s="34">
        <f>21</f>
        <v>21</v>
      </c>
    </row>
    <row r="124" spans="1:24">
      <c r="A124" s="25" t="s">
        <v>1144</v>
      </c>
      <c r="B124" s="25" t="s">
        <v>344</v>
      </c>
      <c r="C124" s="25" t="s">
        <v>345</v>
      </c>
      <c r="D124" s="25" t="s">
        <v>346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9500</f>
        <v>9500</v>
      </c>
      <c r="L124" s="32" t="s">
        <v>1110</v>
      </c>
      <c r="M124" s="31">
        <f>10405</f>
        <v>10405</v>
      </c>
      <c r="N124" s="32" t="s">
        <v>760</v>
      </c>
      <c r="O124" s="31">
        <f>9000</f>
        <v>9000</v>
      </c>
      <c r="P124" s="32" t="s">
        <v>1116</v>
      </c>
      <c r="Q124" s="31">
        <f>9810</f>
        <v>9810</v>
      </c>
      <c r="R124" s="32" t="s">
        <v>777</v>
      </c>
      <c r="S124" s="33">
        <f>9765</f>
        <v>9765</v>
      </c>
      <c r="T124" s="30">
        <f>131482</f>
        <v>131482</v>
      </c>
      <c r="U124" s="30" t="str">
        <f>"－"</f>
        <v>－</v>
      </c>
      <c r="V124" s="30">
        <f>1276963310</f>
        <v>1276963310</v>
      </c>
      <c r="W124" s="30" t="str">
        <f>"－"</f>
        <v>－</v>
      </c>
      <c r="X124" s="34">
        <f>21</f>
        <v>21</v>
      </c>
    </row>
    <row r="125" spans="1:24">
      <c r="A125" s="25" t="s">
        <v>1144</v>
      </c>
      <c r="B125" s="25" t="s">
        <v>347</v>
      </c>
      <c r="C125" s="25" t="s">
        <v>348</v>
      </c>
      <c r="D125" s="25" t="s">
        <v>349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19080</f>
        <v>19080</v>
      </c>
      <c r="L125" s="32" t="s">
        <v>1110</v>
      </c>
      <c r="M125" s="31">
        <f>19080</f>
        <v>19080</v>
      </c>
      <c r="N125" s="32" t="s">
        <v>1110</v>
      </c>
      <c r="O125" s="31">
        <f>18230</f>
        <v>18230</v>
      </c>
      <c r="P125" s="32" t="s">
        <v>680</v>
      </c>
      <c r="Q125" s="31">
        <f>18740</f>
        <v>18740</v>
      </c>
      <c r="R125" s="32" t="s">
        <v>777</v>
      </c>
      <c r="S125" s="33">
        <f>18692.14</f>
        <v>18692.14</v>
      </c>
      <c r="T125" s="30">
        <f>20285</f>
        <v>20285</v>
      </c>
      <c r="U125" s="30">
        <f>5004</f>
        <v>5004</v>
      </c>
      <c r="V125" s="30">
        <f>379216890</f>
        <v>379216890</v>
      </c>
      <c r="W125" s="30">
        <f>93594555</f>
        <v>93594555</v>
      </c>
      <c r="X125" s="34">
        <f>21</f>
        <v>21</v>
      </c>
    </row>
    <row r="126" spans="1:24">
      <c r="A126" s="25" t="s">
        <v>1144</v>
      </c>
      <c r="B126" s="25" t="s">
        <v>350</v>
      </c>
      <c r="C126" s="25" t="s">
        <v>351</v>
      </c>
      <c r="D126" s="25" t="s">
        <v>352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89750</f>
        <v>89750</v>
      </c>
      <c r="L126" s="32" t="s">
        <v>1110</v>
      </c>
      <c r="M126" s="31">
        <f>94460</f>
        <v>94460</v>
      </c>
      <c r="N126" s="32" t="s">
        <v>777</v>
      </c>
      <c r="O126" s="31">
        <f>85500</f>
        <v>85500</v>
      </c>
      <c r="P126" s="32" t="s">
        <v>1145</v>
      </c>
      <c r="Q126" s="31">
        <f>93650</f>
        <v>93650</v>
      </c>
      <c r="R126" s="32" t="s">
        <v>777</v>
      </c>
      <c r="S126" s="33">
        <f>89974.76</f>
        <v>89974.76</v>
      </c>
      <c r="T126" s="30">
        <f>31950</f>
        <v>31950</v>
      </c>
      <c r="U126" s="30">
        <f>1501</f>
        <v>1501</v>
      </c>
      <c r="V126" s="30">
        <f>2858528130</f>
        <v>2858528130</v>
      </c>
      <c r="W126" s="30">
        <f>131597940</f>
        <v>131597940</v>
      </c>
      <c r="X126" s="34">
        <f>21</f>
        <v>21</v>
      </c>
    </row>
    <row r="127" spans="1:24">
      <c r="A127" s="25" t="s">
        <v>1144</v>
      </c>
      <c r="B127" s="25" t="s">
        <v>1139</v>
      </c>
      <c r="C127" s="25" t="s">
        <v>1138</v>
      </c>
      <c r="D127" s="25" t="s">
        <v>1137</v>
      </c>
      <c r="E127" s="26" t="s">
        <v>43</v>
      </c>
      <c r="F127" s="27" t="s">
        <v>43</v>
      </c>
      <c r="G127" s="28" t="s">
        <v>43</v>
      </c>
      <c r="H127" s="29"/>
      <c r="I127" s="29" t="s">
        <v>465</v>
      </c>
      <c r="J127" s="30">
        <v>1</v>
      </c>
      <c r="K127" s="31">
        <f>10135</f>
        <v>10135</v>
      </c>
      <c r="L127" s="32" t="s">
        <v>1110</v>
      </c>
      <c r="M127" s="31">
        <f>10250</f>
        <v>10250</v>
      </c>
      <c r="N127" s="32" t="s">
        <v>1110</v>
      </c>
      <c r="O127" s="31">
        <f>9315</f>
        <v>9315</v>
      </c>
      <c r="P127" s="32" t="s">
        <v>680</v>
      </c>
      <c r="Q127" s="31">
        <f>9925</f>
        <v>9925</v>
      </c>
      <c r="R127" s="32" t="s">
        <v>777</v>
      </c>
      <c r="S127" s="33">
        <f>9827.76</f>
        <v>9827.76</v>
      </c>
      <c r="T127" s="30">
        <f>18726</f>
        <v>18726</v>
      </c>
      <c r="U127" s="30" t="str">
        <f>"－"</f>
        <v>－</v>
      </c>
      <c r="V127" s="30">
        <f>185894931</f>
        <v>185894931</v>
      </c>
      <c r="W127" s="30" t="str">
        <f>"－"</f>
        <v>－</v>
      </c>
      <c r="X127" s="34">
        <f>21</f>
        <v>21</v>
      </c>
    </row>
    <row r="128" spans="1:24">
      <c r="A128" s="25" t="s">
        <v>1144</v>
      </c>
      <c r="B128" s="25" t="s">
        <v>353</v>
      </c>
      <c r="C128" s="25" t="s">
        <v>354</v>
      </c>
      <c r="D128" s="25" t="s">
        <v>355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30840</f>
        <v>30840</v>
      </c>
      <c r="L128" s="32" t="s">
        <v>1110</v>
      </c>
      <c r="M128" s="31">
        <f>30840</f>
        <v>30840</v>
      </c>
      <c r="N128" s="32" t="s">
        <v>1110</v>
      </c>
      <c r="O128" s="31">
        <f>28135</f>
        <v>28135</v>
      </c>
      <c r="P128" s="32" t="s">
        <v>680</v>
      </c>
      <c r="Q128" s="31">
        <f>28960</f>
        <v>28960</v>
      </c>
      <c r="R128" s="32" t="s">
        <v>777</v>
      </c>
      <c r="S128" s="33">
        <f>29322.62</f>
        <v>29322.62</v>
      </c>
      <c r="T128" s="30">
        <f>10412</f>
        <v>10412</v>
      </c>
      <c r="U128" s="30">
        <f>3000</f>
        <v>3000</v>
      </c>
      <c r="V128" s="30">
        <f>307490710</f>
        <v>307490710</v>
      </c>
      <c r="W128" s="30">
        <f>86425650</f>
        <v>86425650</v>
      </c>
      <c r="X128" s="34">
        <f>21</f>
        <v>21</v>
      </c>
    </row>
    <row r="129" spans="1:24">
      <c r="A129" s="25" t="s">
        <v>1144</v>
      </c>
      <c r="B129" s="25" t="s">
        <v>356</v>
      </c>
      <c r="C129" s="25" t="s">
        <v>357</v>
      </c>
      <c r="D129" s="25" t="s">
        <v>358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17500</f>
        <v>17500</v>
      </c>
      <c r="L129" s="32" t="s">
        <v>1110</v>
      </c>
      <c r="M129" s="31">
        <f>17730</f>
        <v>17730</v>
      </c>
      <c r="N129" s="32" t="s">
        <v>676</v>
      </c>
      <c r="O129" s="31">
        <f>16550</f>
        <v>16550</v>
      </c>
      <c r="P129" s="32" t="s">
        <v>674</v>
      </c>
      <c r="Q129" s="31">
        <f>17700</f>
        <v>17700</v>
      </c>
      <c r="R129" s="32" t="s">
        <v>777</v>
      </c>
      <c r="S129" s="33">
        <f>17258.33</f>
        <v>17258.330000000002</v>
      </c>
      <c r="T129" s="30">
        <f>110696</f>
        <v>110696</v>
      </c>
      <c r="U129" s="30">
        <f>56074</f>
        <v>56074</v>
      </c>
      <c r="V129" s="30">
        <f>1914126224</f>
        <v>1914126224</v>
      </c>
      <c r="W129" s="30">
        <f>974003404</f>
        <v>974003404</v>
      </c>
      <c r="X129" s="34">
        <f>21</f>
        <v>21</v>
      </c>
    </row>
    <row r="130" spans="1:24">
      <c r="A130" s="25" t="s">
        <v>1144</v>
      </c>
      <c r="B130" s="25" t="s">
        <v>359</v>
      </c>
      <c r="C130" s="25" t="s">
        <v>360</v>
      </c>
      <c r="D130" s="25" t="s">
        <v>361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26220</f>
        <v>26220</v>
      </c>
      <c r="L130" s="32" t="s">
        <v>1110</v>
      </c>
      <c r="M130" s="31">
        <f>26300</f>
        <v>26300</v>
      </c>
      <c r="N130" s="32" t="s">
        <v>677</v>
      </c>
      <c r="O130" s="31">
        <f>24475</f>
        <v>24475</v>
      </c>
      <c r="P130" s="32" t="s">
        <v>680</v>
      </c>
      <c r="Q130" s="31">
        <f>25925</f>
        <v>25925</v>
      </c>
      <c r="R130" s="32" t="s">
        <v>777</v>
      </c>
      <c r="S130" s="33">
        <f>25622.86</f>
        <v>25622.86</v>
      </c>
      <c r="T130" s="30">
        <f>19049</f>
        <v>19049</v>
      </c>
      <c r="U130" s="30" t="str">
        <f>"－"</f>
        <v>－</v>
      </c>
      <c r="V130" s="30">
        <f>488178785</f>
        <v>488178785</v>
      </c>
      <c r="W130" s="30" t="str">
        <f>"－"</f>
        <v>－</v>
      </c>
      <c r="X130" s="34">
        <f>21</f>
        <v>21</v>
      </c>
    </row>
    <row r="131" spans="1:24">
      <c r="A131" s="25" t="s">
        <v>1144</v>
      </c>
      <c r="B131" s="25" t="s">
        <v>362</v>
      </c>
      <c r="C131" s="25" t="s">
        <v>363</v>
      </c>
      <c r="D131" s="25" t="s">
        <v>364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</v>
      </c>
      <c r="K131" s="31">
        <f>44460</f>
        <v>44460</v>
      </c>
      <c r="L131" s="32" t="s">
        <v>1110</v>
      </c>
      <c r="M131" s="31">
        <f>45040</f>
        <v>45040</v>
      </c>
      <c r="N131" s="32" t="s">
        <v>677</v>
      </c>
      <c r="O131" s="31">
        <f>41400</f>
        <v>41400</v>
      </c>
      <c r="P131" s="32" t="s">
        <v>676</v>
      </c>
      <c r="Q131" s="31">
        <f>43190</f>
        <v>43190</v>
      </c>
      <c r="R131" s="32" t="s">
        <v>777</v>
      </c>
      <c r="S131" s="33">
        <f>42993.33</f>
        <v>42993.33</v>
      </c>
      <c r="T131" s="30">
        <f>30205</f>
        <v>30205</v>
      </c>
      <c r="U131" s="30">
        <f>1504</f>
        <v>1504</v>
      </c>
      <c r="V131" s="30">
        <f>1301241820</f>
        <v>1301241820</v>
      </c>
      <c r="W131" s="30">
        <f>64769400</f>
        <v>64769400</v>
      </c>
      <c r="X131" s="34">
        <f>21</f>
        <v>21</v>
      </c>
    </row>
    <row r="132" spans="1:24">
      <c r="A132" s="25" t="s">
        <v>1144</v>
      </c>
      <c r="B132" s="25" t="s">
        <v>1136</v>
      </c>
      <c r="C132" s="25" t="s">
        <v>1135</v>
      </c>
      <c r="D132" s="25" t="s">
        <v>1134</v>
      </c>
      <c r="E132" s="26" t="s">
        <v>43</v>
      </c>
      <c r="F132" s="27" t="s">
        <v>43</v>
      </c>
      <c r="G132" s="28" t="s">
        <v>43</v>
      </c>
      <c r="H132" s="29"/>
      <c r="I132" s="29" t="s">
        <v>465</v>
      </c>
      <c r="J132" s="30">
        <v>1</v>
      </c>
      <c r="K132" s="31">
        <f>10475</f>
        <v>10475</v>
      </c>
      <c r="L132" s="32" t="s">
        <v>1110</v>
      </c>
      <c r="M132" s="31">
        <f>10475</f>
        <v>10475</v>
      </c>
      <c r="N132" s="32" t="s">
        <v>1110</v>
      </c>
      <c r="O132" s="31">
        <f>9039</f>
        <v>9039</v>
      </c>
      <c r="P132" s="32" t="s">
        <v>778</v>
      </c>
      <c r="Q132" s="31">
        <f>9621</f>
        <v>9621</v>
      </c>
      <c r="R132" s="32" t="s">
        <v>777</v>
      </c>
      <c r="S132" s="33">
        <f>9909.67</f>
        <v>9909.67</v>
      </c>
      <c r="T132" s="30">
        <f>419228</f>
        <v>419228</v>
      </c>
      <c r="U132" s="30">
        <f>3</f>
        <v>3</v>
      </c>
      <c r="V132" s="30">
        <f>4142710373</f>
        <v>4142710373</v>
      </c>
      <c r="W132" s="30">
        <f>30800</f>
        <v>30800</v>
      </c>
      <c r="X132" s="34">
        <f>21</f>
        <v>21</v>
      </c>
    </row>
    <row r="133" spans="1:24">
      <c r="A133" s="25" t="s">
        <v>1144</v>
      </c>
      <c r="B133" s="25" t="s">
        <v>365</v>
      </c>
      <c r="C133" s="25" t="s">
        <v>926</v>
      </c>
      <c r="D133" s="25" t="s">
        <v>927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2053.5</f>
        <v>2053.5</v>
      </c>
      <c r="L133" s="32" t="s">
        <v>1110</v>
      </c>
      <c r="M133" s="31">
        <f>2067</f>
        <v>2067</v>
      </c>
      <c r="N133" s="32" t="s">
        <v>777</v>
      </c>
      <c r="O133" s="31">
        <f>1948</f>
        <v>1948</v>
      </c>
      <c r="P133" s="32" t="s">
        <v>680</v>
      </c>
      <c r="Q133" s="31">
        <f>2063</f>
        <v>2063</v>
      </c>
      <c r="R133" s="32" t="s">
        <v>777</v>
      </c>
      <c r="S133" s="33">
        <f>2021.19</f>
        <v>2021.19</v>
      </c>
      <c r="T133" s="30">
        <f>1156090</f>
        <v>1156090</v>
      </c>
      <c r="U133" s="30">
        <f>391020</f>
        <v>391020</v>
      </c>
      <c r="V133" s="30">
        <f>2328756402</f>
        <v>2328756402</v>
      </c>
      <c r="W133" s="30">
        <f>785370937</f>
        <v>785370937</v>
      </c>
      <c r="X133" s="34">
        <f>21</f>
        <v>21</v>
      </c>
    </row>
    <row r="134" spans="1:24">
      <c r="A134" s="25" t="s">
        <v>1144</v>
      </c>
      <c r="B134" s="25" t="s">
        <v>366</v>
      </c>
      <c r="C134" s="25" t="s">
        <v>928</v>
      </c>
      <c r="D134" s="25" t="s">
        <v>929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3210</f>
        <v>3210</v>
      </c>
      <c r="L134" s="32" t="s">
        <v>1110</v>
      </c>
      <c r="M134" s="31">
        <f>3210</f>
        <v>3210</v>
      </c>
      <c r="N134" s="32" t="s">
        <v>1110</v>
      </c>
      <c r="O134" s="31">
        <f>3006</f>
        <v>3006</v>
      </c>
      <c r="P134" s="32" t="s">
        <v>680</v>
      </c>
      <c r="Q134" s="31">
        <f>3174</f>
        <v>3174</v>
      </c>
      <c r="R134" s="32" t="s">
        <v>777</v>
      </c>
      <c r="S134" s="33">
        <f>3140.24</f>
        <v>3140.24</v>
      </c>
      <c r="T134" s="30">
        <f>7660</f>
        <v>7660</v>
      </c>
      <c r="U134" s="30" t="str">
        <f>"－"</f>
        <v>－</v>
      </c>
      <c r="V134" s="30">
        <f>24118940</f>
        <v>24118940</v>
      </c>
      <c r="W134" s="30" t="str">
        <f>"－"</f>
        <v>－</v>
      </c>
      <c r="X134" s="34">
        <f>17</f>
        <v>17</v>
      </c>
    </row>
    <row r="135" spans="1:24">
      <c r="A135" s="25" t="s">
        <v>1144</v>
      </c>
      <c r="B135" s="25" t="s">
        <v>367</v>
      </c>
      <c r="C135" s="25" t="s">
        <v>930</v>
      </c>
      <c r="D135" s="25" t="s">
        <v>931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3528</f>
        <v>3528</v>
      </c>
      <c r="L135" s="32" t="s">
        <v>1110</v>
      </c>
      <c r="M135" s="31">
        <f>3528</f>
        <v>3528</v>
      </c>
      <c r="N135" s="32" t="s">
        <v>1110</v>
      </c>
      <c r="O135" s="31">
        <f>3344</f>
        <v>3344</v>
      </c>
      <c r="P135" s="32" t="s">
        <v>680</v>
      </c>
      <c r="Q135" s="31">
        <f>3480</f>
        <v>3480</v>
      </c>
      <c r="R135" s="32" t="s">
        <v>777</v>
      </c>
      <c r="S135" s="33">
        <f>3448.11</f>
        <v>3448.11</v>
      </c>
      <c r="T135" s="30">
        <f>8830</f>
        <v>8830</v>
      </c>
      <c r="U135" s="30" t="str">
        <f>"－"</f>
        <v>－</v>
      </c>
      <c r="V135" s="30">
        <f>30544720</f>
        <v>30544720</v>
      </c>
      <c r="W135" s="30" t="str">
        <f>"－"</f>
        <v>－</v>
      </c>
      <c r="X135" s="34">
        <f>18</f>
        <v>18</v>
      </c>
    </row>
    <row r="136" spans="1:24">
      <c r="A136" s="25" t="s">
        <v>1144</v>
      </c>
      <c r="B136" s="25" t="s">
        <v>368</v>
      </c>
      <c r="C136" s="25" t="s">
        <v>932</v>
      </c>
      <c r="D136" s="25" t="s">
        <v>933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2258.5</f>
        <v>2258.5</v>
      </c>
      <c r="L136" s="32" t="s">
        <v>1110</v>
      </c>
      <c r="M136" s="31">
        <f>2258.5</f>
        <v>2258.5</v>
      </c>
      <c r="N136" s="32" t="s">
        <v>1110</v>
      </c>
      <c r="O136" s="31">
        <f>2138</f>
        <v>2138</v>
      </c>
      <c r="P136" s="32" t="s">
        <v>680</v>
      </c>
      <c r="Q136" s="31">
        <f>2229.5</f>
        <v>2229.5</v>
      </c>
      <c r="R136" s="32" t="s">
        <v>777</v>
      </c>
      <c r="S136" s="33">
        <f>2202.56</f>
        <v>2202.56</v>
      </c>
      <c r="T136" s="30">
        <f>67190</f>
        <v>67190</v>
      </c>
      <c r="U136" s="30">
        <f>26520</f>
        <v>26520</v>
      </c>
      <c r="V136" s="30">
        <f>148195875</f>
        <v>148195875</v>
      </c>
      <c r="W136" s="30">
        <f>58745360</f>
        <v>58745360</v>
      </c>
      <c r="X136" s="34">
        <f>17</f>
        <v>17</v>
      </c>
    </row>
    <row r="137" spans="1:24">
      <c r="A137" s="25" t="s">
        <v>1144</v>
      </c>
      <c r="B137" s="25" t="s">
        <v>369</v>
      </c>
      <c r="C137" s="25" t="s">
        <v>370</v>
      </c>
      <c r="D137" s="25" t="s">
        <v>371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576.3</f>
        <v>576.29999999999995</v>
      </c>
      <c r="L137" s="32" t="s">
        <v>1110</v>
      </c>
      <c r="M137" s="31">
        <f>577.9</f>
        <v>577.9</v>
      </c>
      <c r="N137" s="32" t="s">
        <v>777</v>
      </c>
      <c r="O137" s="31">
        <f>545.4</f>
        <v>545.4</v>
      </c>
      <c r="P137" s="32" t="s">
        <v>680</v>
      </c>
      <c r="Q137" s="31">
        <f>577.2</f>
        <v>577.20000000000005</v>
      </c>
      <c r="R137" s="32" t="s">
        <v>777</v>
      </c>
      <c r="S137" s="33">
        <f>566.75</f>
        <v>566.75</v>
      </c>
      <c r="T137" s="30">
        <f>48650500</f>
        <v>48650500</v>
      </c>
      <c r="U137" s="30">
        <f>2267580</f>
        <v>2267580</v>
      </c>
      <c r="V137" s="30">
        <f>27536214882</f>
        <v>27536214882</v>
      </c>
      <c r="W137" s="30">
        <f>1273522277</f>
        <v>1273522277</v>
      </c>
      <c r="X137" s="34">
        <f>21</f>
        <v>21</v>
      </c>
    </row>
    <row r="138" spans="1:24">
      <c r="A138" s="25" t="s">
        <v>1144</v>
      </c>
      <c r="B138" s="25" t="s">
        <v>372</v>
      </c>
      <c r="C138" s="25" t="s">
        <v>373</v>
      </c>
      <c r="D138" s="25" t="s">
        <v>374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10</v>
      </c>
      <c r="K138" s="31">
        <f>300</f>
        <v>300</v>
      </c>
      <c r="L138" s="32" t="s">
        <v>1110</v>
      </c>
      <c r="M138" s="31">
        <f>310.2</f>
        <v>310.2</v>
      </c>
      <c r="N138" s="32" t="s">
        <v>876</v>
      </c>
      <c r="O138" s="31">
        <f>292.3</f>
        <v>292.3</v>
      </c>
      <c r="P138" s="32" t="s">
        <v>684</v>
      </c>
      <c r="Q138" s="31">
        <f>299.6</f>
        <v>299.60000000000002</v>
      </c>
      <c r="R138" s="32" t="s">
        <v>777</v>
      </c>
      <c r="S138" s="33">
        <f>296.54</f>
        <v>296.54000000000002</v>
      </c>
      <c r="T138" s="30">
        <f>28569480</f>
        <v>28569480</v>
      </c>
      <c r="U138" s="30">
        <f>22007490</f>
        <v>22007490</v>
      </c>
      <c r="V138" s="30">
        <f>8429763668</f>
        <v>8429763668</v>
      </c>
      <c r="W138" s="30">
        <f>6485048159</f>
        <v>6485048159</v>
      </c>
      <c r="X138" s="34">
        <f>21</f>
        <v>21</v>
      </c>
    </row>
    <row r="139" spans="1:24">
      <c r="A139" s="25" t="s">
        <v>1144</v>
      </c>
      <c r="B139" s="25" t="s">
        <v>375</v>
      </c>
      <c r="C139" s="25" t="s">
        <v>973</v>
      </c>
      <c r="D139" s="25" t="s">
        <v>376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4855</f>
        <v>4855</v>
      </c>
      <c r="L139" s="32" t="s">
        <v>1110</v>
      </c>
      <c r="M139" s="31">
        <f>5120</f>
        <v>5120</v>
      </c>
      <c r="N139" s="32" t="s">
        <v>777</v>
      </c>
      <c r="O139" s="31">
        <f>4595</f>
        <v>4595</v>
      </c>
      <c r="P139" s="32" t="s">
        <v>680</v>
      </c>
      <c r="Q139" s="31">
        <f>4880</f>
        <v>4880</v>
      </c>
      <c r="R139" s="32" t="s">
        <v>777</v>
      </c>
      <c r="S139" s="33">
        <f>4777.62</f>
        <v>4777.62</v>
      </c>
      <c r="T139" s="30">
        <f>72945</f>
        <v>72945</v>
      </c>
      <c r="U139" s="30">
        <f>18802</f>
        <v>18802</v>
      </c>
      <c r="V139" s="30">
        <f>351247167</f>
        <v>351247167</v>
      </c>
      <c r="W139" s="30">
        <f>89482742</f>
        <v>89482742</v>
      </c>
      <c r="X139" s="34">
        <f>21</f>
        <v>21</v>
      </c>
    </row>
    <row r="140" spans="1:24">
      <c r="A140" s="25" t="s">
        <v>1144</v>
      </c>
      <c r="B140" s="25" t="s">
        <v>377</v>
      </c>
      <c r="C140" s="25" t="s">
        <v>378</v>
      </c>
      <c r="D140" s="25" t="s">
        <v>379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2647</f>
        <v>2647</v>
      </c>
      <c r="L140" s="32" t="s">
        <v>1110</v>
      </c>
      <c r="M140" s="31">
        <f>2752</f>
        <v>2752</v>
      </c>
      <c r="N140" s="32" t="s">
        <v>777</v>
      </c>
      <c r="O140" s="31">
        <f>2536</f>
        <v>2536</v>
      </c>
      <c r="P140" s="32" t="s">
        <v>680</v>
      </c>
      <c r="Q140" s="31">
        <f>2737</f>
        <v>2737</v>
      </c>
      <c r="R140" s="32" t="s">
        <v>777</v>
      </c>
      <c r="S140" s="33">
        <f>2642.86</f>
        <v>2642.86</v>
      </c>
      <c r="T140" s="30">
        <f>100760</f>
        <v>100760</v>
      </c>
      <c r="U140" s="30">
        <f>26281</f>
        <v>26281</v>
      </c>
      <c r="V140" s="30">
        <f>265359532</f>
        <v>265359532</v>
      </c>
      <c r="W140" s="30">
        <f>68943385</f>
        <v>68943385</v>
      </c>
      <c r="X140" s="34">
        <f>21</f>
        <v>21</v>
      </c>
    </row>
    <row r="141" spans="1:24">
      <c r="A141" s="25" t="s">
        <v>1144</v>
      </c>
      <c r="B141" s="25" t="s">
        <v>380</v>
      </c>
      <c r="C141" s="25" t="s">
        <v>381</v>
      </c>
      <c r="D141" s="25" t="s">
        <v>382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3030</f>
        <v>3030</v>
      </c>
      <c r="L141" s="32" t="s">
        <v>1110</v>
      </c>
      <c r="M141" s="31">
        <f>3055</f>
        <v>3055</v>
      </c>
      <c r="N141" s="32" t="s">
        <v>1110</v>
      </c>
      <c r="O141" s="31">
        <f>2780</f>
        <v>2780</v>
      </c>
      <c r="P141" s="32" t="s">
        <v>680</v>
      </c>
      <c r="Q141" s="31">
        <f>2960</f>
        <v>2960</v>
      </c>
      <c r="R141" s="32" t="s">
        <v>777</v>
      </c>
      <c r="S141" s="33">
        <f>2934.19</f>
        <v>2934.19</v>
      </c>
      <c r="T141" s="30">
        <f>192553</f>
        <v>192553</v>
      </c>
      <c r="U141" s="30" t="str">
        <f>"－"</f>
        <v>－</v>
      </c>
      <c r="V141" s="30">
        <f>563543846</f>
        <v>563543846</v>
      </c>
      <c r="W141" s="30" t="str">
        <f>"－"</f>
        <v>－</v>
      </c>
      <c r="X141" s="34">
        <f>21</f>
        <v>21</v>
      </c>
    </row>
    <row r="142" spans="1:24">
      <c r="A142" s="25" t="s">
        <v>1144</v>
      </c>
      <c r="B142" s="25" t="s">
        <v>383</v>
      </c>
      <c r="C142" s="25" t="s">
        <v>384</v>
      </c>
      <c r="D142" s="25" t="s">
        <v>385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10430</f>
        <v>10430</v>
      </c>
      <c r="L142" s="32" t="s">
        <v>1110</v>
      </c>
      <c r="M142" s="31">
        <f>10495</f>
        <v>10495</v>
      </c>
      <c r="N142" s="32" t="s">
        <v>1110</v>
      </c>
      <c r="O142" s="31">
        <f>10130</f>
        <v>10130</v>
      </c>
      <c r="P142" s="32" t="s">
        <v>680</v>
      </c>
      <c r="Q142" s="31">
        <f>10360</f>
        <v>10360</v>
      </c>
      <c r="R142" s="32" t="s">
        <v>777</v>
      </c>
      <c r="S142" s="33">
        <f>10276.67</f>
        <v>10276.67</v>
      </c>
      <c r="T142" s="30">
        <f>265972</f>
        <v>265972</v>
      </c>
      <c r="U142" s="30">
        <f>111582</f>
        <v>111582</v>
      </c>
      <c r="V142" s="30">
        <f>2724524929</f>
        <v>2724524929</v>
      </c>
      <c r="W142" s="30">
        <f>1141690924</f>
        <v>1141690924</v>
      </c>
      <c r="X142" s="34">
        <f>21</f>
        <v>21</v>
      </c>
    </row>
    <row r="143" spans="1:24">
      <c r="A143" s="25" t="s">
        <v>1144</v>
      </c>
      <c r="B143" s="25" t="s">
        <v>386</v>
      </c>
      <c r="C143" s="25" t="s">
        <v>387</v>
      </c>
      <c r="D143" s="25" t="s">
        <v>388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3275</f>
        <v>3275</v>
      </c>
      <c r="L143" s="32" t="s">
        <v>1110</v>
      </c>
      <c r="M143" s="31">
        <f>3480</f>
        <v>3480</v>
      </c>
      <c r="N143" s="32" t="s">
        <v>760</v>
      </c>
      <c r="O143" s="31">
        <f>3260</f>
        <v>3260</v>
      </c>
      <c r="P143" s="32" t="s">
        <v>1110</v>
      </c>
      <c r="Q143" s="31">
        <f>3400</f>
        <v>3400</v>
      </c>
      <c r="R143" s="32" t="s">
        <v>777</v>
      </c>
      <c r="S143" s="33">
        <f>3387.86</f>
        <v>3387.86</v>
      </c>
      <c r="T143" s="30">
        <f>6247921</f>
        <v>6247921</v>
      </c>
      <c r="U143" s="30">
        <f>8298</f>
        <v>8298</v>
      </c>
      <c r="V143" s="30">
        <f>21229514475</f>
        <v>21229514475</v>
      </c>
      <c r="W143" s="30">
        <f>28092720</f>
        <v>28092720</v>
      </c>
      <c r="X143" s="34">
        <f>21</f>
        <v>21</v>
      </c>
    </row>
    <row r="144" spans="1:24">
      <c r="A144" s="25" t="s">
        <v>1144</v>
      </c>
      <c r="B144" s="25" t="s">
        <v>389</v>
      </c>
      <c r="C144" s="25" t="s">
        <v>390</v>
      </c>
      <c r="D144" s="25" t="s">
        <v>391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33790</f>
        <v>33790</v>
      </c>
      <c r="L144" s="32" t="s">
        <v>1110</v>
      </c>
      <c r="M144" s="31">
        <f>38270</f>
        <v>38270</v>
      </c>
      <c r="N144" s="32" t="s">
        <v>876</v>
      </c>
      <c r="O144" s="31">
        <f>31830</f>
        <v>31830</v>
      </c>
      <c r="P144" s="32" t="s">
        <v>1110</v>
      </c>
      <c r="Q144" s="31">
        <f>34080</f>
        <v>34080</v>
      </c>
      <c r="R144" s="32" t="s">
        <v>777</v>
      </c>
      <c r="S144" s="33">
        <f>33537.62</f>
        <v>33537.620000000003</v>
      </c>
      <c r="T144" s="30">
        <f>28013</f>
        <v>28013</v>
      </c>
      <c r="U144" s="30" t="str">
        <f>"－"</f>
        <v>－</v>
      </c>
      <c r="V144" s="30">
        <f>941351830</f>
        <v>941351830</v>
      </c>
      <c r="W144" s="30" t="str">
        <f>"－"</f>
        <v>－</v>
      </c>
      <c r="X144" s="34">
        <f>21</f>
        <v>21</v>
      </c>
    </row>
    <row r="145" spans="1:24">
      <c r="A145" s="25" t="s">
        <v>1144</v>
      </c>
      <c r="B145" s="25" t="s">
        <v>392</v>
      </c>
      <c r="C145" s="25" t="s">
        <v>393</v>
      </c>
      <c r="D145" s="25" t="s">
        <v>394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10</v>
      </c>
      <c r="K145" s="31">
        <f>3596</f>
        <v>3596</v>
      </c>
      <c r="L145" s="32" t="s">
        <v>1110</v>
      </c>
      <c r="M145" s="31">
        <f>4400</f>
        <v>4400</v>
      </c>
      <c r="N145" s="32" t="s">
        <v>876</v>
      </c>
      <c r="O145" s="31">
        <f>3495</f>
        <v>3495</v>
      </c>
      <c r="P145" s="32" t="s">
        <v>1110</v>
      </c>
      <c r="Q145" s="31">
        <f>3871</f>
        <v>3871</v>
      </c>
      <c r="R145" s="32" t="s">
        <v>777</v>
      </c>
      <c r="S145" s="33">
        <f>3908.76</f>
        <v>3908.76</v>
      </c>
      <c r="T145" s="30">
        <f>228820</f>
        <v>228820</v>
      </c>
      <c r="U145" s="30" t="str">
        <f>"－"</f>
        <v>－</v>
      </c>
      <c r="V145" s="30">
        <f>905531630</f>
        <v>905531630</v>
      </c>
      <c r="W145" s="30" t="str">
        <f>"－"</f>
        <v>－</v>
      </c>
      <c r="X145" s="34">
        <f>21</f>
        <v>21</v>
      </c>
    </row>
    <row r="146" spans="1:24">
      <c r="A146" s="25" t="s">
        <v>1144</v>
      </c>
      <c r="B146" s="25" t="s">
        <v>395</v>
      </c>
      <c r="C146" s="25" t="s">
        <v>396</v>
      </c>
      <c r="D146" s="25" t="s">
        <v>397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12610</f>
        <v>12610</v>
      </c>
      <c r="L146" s="32" t="s">
        <v>1110</v>
      </c>
      <c r="M146" s="31">
        <f>14875</f>
        <v>14875</v>
      </c>
      <c r="N146" s="32" t="s">
        <v>677</v>
      </c>
      <c r="O146" s="31">
        <f>12605</f>
        <v>12605</v>
      </c>
      <c r="P146" s="32" t="s">
        <v>1116</v>
      </c>
      <c r="Q146" s="31">
        <f>13685</f>
        <v>13685</v>
      </c>
      <c r="R146" s="32" t="s">
        <v>777</v>
      </c>
      <c r="S146" s="33">
        <f>13314.76</f>
        <v>13314.76</v>
      </c>
      <c r="T146" s="30">
        <f>13503</f>
        <v>13503</v>
      </c>
      <c r="U146" s="30" t="str">
        <f>"－"</f>
        <v>－</v>
      </c>
      <c r="V146" s="30">
        <f>181137005</f>
        <v>181137005</v>
      </c>
      <c r="W146" s="30" t="str">
        <f>"－"</f>
        <v>－</v>
      </c>
      <c r="X146" s="34">
        <f>21</f>
        <v>21</v>
      </c>
    </row>
    <row r="147" spans="1:24">
      <c r="A147" s="25" t="s">
        <v>1144</v>
      </c>
      <c r="B147" s="25" t="s">
        <v>398</v>
      </c>
      <c r="C147" s="25" t="s">
        <v>399</v>
      </c>
      <c r="D147" s="25" t="s">
        <v>400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14390</f>
        <v>14390</v>
      </c>
      <c r="L147" s="32" t="s">
        <v>1110</v>
      </c>
      <c r="M147" s="31">
        <f>15315</f>
        <v>15315</v>
      </c>
      <c r="N147" s="32" t="s">
        <v>759</v>
      </c>
      <c r="O147" s="31">
        <f>13865</f>
        <v>13865</v>
      </c>
      <c r="P147" s="32" t="s">
        <v>1113</v>
      </c>
      <c r="Q147" s="31">
        <f>13890</f>
        <v>13890</v>
      </c>
      <c r="R147" s="32" t="s">
        <v>777</v>
      </c>
      <c r="S147" s="33">
        <f>14451.67</f>
        <v>14451.67</v>
      </c>
      <c r="T147" s="30">
        <f>8410</f>
        <v>8410</v>
      </c>
      <c r="U147" s="30" t="str">
        <f>"－"</f>
        <v>－</v>
      </c>
      <c r="V147" s="30">
        <f>122103475</f>
        <v>122103475</v>
      </c>
      <c r="W147" s="30" t="str">
        <f>"－"</f>
        <v>－</v>
      </c>
      <c r="X147" s="34">
        <f>21</f>
        <v>21</v>
      </c>
    </row>
    <row r="148" spans="1:24">
      <c r="A148" s="25" t="s">
        <v>1144</v>
      </c>
      <c r="B148" s="25" t="s">
        <v>401</v>
      </c>
      <c r="C148" s="25" t="s">
        <v>402</v>
      </c>
      <c r="D148" s="25" t="s">
        <v>403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</v>
      </c>
      <c r="K148" s="31">
        <f>19835</f>
        <v>19835</v>
      </c>
      <c r="L148" s="32" t="s">
        <v>1110</v>
      </c>
      <c r="M148" s="31">
        <f>23210</f>
        <v>23210</v>
      </c>
      <c r="N148" s="32" t="s">
        <v>760</v>
      </c>
      <c r="O148" s="31">
        <f>19835</f>
        <v>19835</v>
      </c>
      <c r="P148" s="32" t="s">
        <v>1110</v>
      </c>
      <c r="Q148" s="31">
        <f>22340</f>
        <v>22340</v>
      </c>
      <c r="R148" s="32" t="s">
        <v>777</v>
      </c>
      <c r="S148" s="33">
        <f>22278.42</f>
        <v>22278.42</v>
      </c>
      <c r="T148" s="30">
        <f>2507</f>
        <v>2507</v>
      </c>
      <c r="U148" s="30" t="str">
        <f>"－"</f>
        <v>－</v>
      </c>
      <c r="V148" s="30">
        <f>55586315</f>
        <v>55586315</v>
      </c>
      <c r="W148" s="30" t="str">
        <f>"－"</f>
        <v>－</v>
      </c>
      <c r="X148" s="34">
        <f>19</f>
        <v>19</v>
      </c>
    </row>
    <row r="149" spans="1:24">
      <c r="A149" s="25" t="s">
        <v>1144</v>
      </c>
      <c r="B149" s="25" t="s">
        <v>404</v>
      </c>
      <c r="C149" s="25" t="s">
        <v>405</v>
      </c>
      <c r="D149" s="25" t="s">
        <v>406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55510</f>
        <v>55510</v>
      </c>
      <c r="L149" s="32" t="s">
        <v>1110</v>
      </c>
      <c r="M149" s="31">
        <f>56680</f>
        <v>56680</v>
      </c>
      <c r="N149" s="32" t="s">
        <v>777</v>
      </c>
      <c r="O149" s="31">
        <f>55270</f>
        <v>55270</v>
      </c>
      <c r="P149" s="32" t="s">
        <v>680</v>
      </c>
      <c r="Q149" s="31">
        <f>56680</f>
        <v>56680</v>
      </c>
      <c r="R149" s="32" t="s">
        <v>777</v>
      </c>
      <c r="S149" s="33">
        <f>55651.5</f>
        <v>55651.5</v>
      </c>
      <c r="T149" s="30">
        <f>6440</f>
        <v>6440</v>
      </c>
      <c r="U149" s="30">
        <f>2010</f>
        <v>2010</v>
      </c>
      <c r="V149" s="30">
        <f>358578600</f>
        <v>358578600</v>
      </c>
      <c r="W149" s="30">
        <f>111976100</f>
        <v>111976100</v>
      </c>
      <c r="X149" s="34">
        <f>20</f>
        <v>20</v>
      </c>
    </row>
    <row r="150" spans="1:24">
      <c r="A150" s="25" t="s">
        <v>1144</v>
      </c>
      <c r="B150" s="25" t="s">
        <v>407</v>
      </c>
      <c r="C150" s="25" t="s">
        <v>974</v>
      </c>
      <c r="D150" s="25" t="s">
        <v>408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355</f>
        <v>355</v>
      </c>
      <c r="L150" s="32" t="s">
        <v>1110</v>
      </c>
      <c r="M150" s="31">
        <f>369.5</f>
        <v>369.5</v>
      </c>
      <c r="N150" s="32" t="s">
        <v>777</v>
      </c>
      <c r="O150" s="31">
        <f>344.3</f>
        <v>344.3</v>
      </c>
      <c r="P150" s="32" t="s">
        <v>680</v>
      </c>
      <c r="Q150" s="31">
        <f>369</f>
        <v>369</v>
      </c>
      <c r="R150" s="32" t="s">
        <v>777</v>
      </c>
      <c r="S150" s="33">
        <f>358.39</f>
        <v>358.39</v>
      </c>
      <c r="T150" s="30">
        <f>45781900</f>
        <v>45781900</v>
      </c>
      <c r="U150" s="30">
        <f>31630</f>
        <v>31630</v>
      </c>
      <c r="V150" s="30">
        <f>16359213903</f>
        <v>16359213903</v>
      </c>
      <c r="W150" s="30">
        <f>11248500</f>
        <v>11248500</v>
      </c>
      <c r="X150" s="34">
        <f>21</f>
        <v>21</v>
      </c>
    </row>
    <row r="151" spans="1:24">
      <c r="A151" s="25" t="s">
        <v>1144</v>
      </c>
      <c r="B151" s="25" t="s">
        <v>409</v>
      </c>
      <c r="C151" s="25" t="s">
        <v>975</v>
      </c>
      <c r="D151" s="25" t="s">
        <v>410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50540</f>
        <v>50540</v>
      </c>
      <c r="L151" s="32" t="s">
        <v>1110</v>
      </c>
      <c r="M151" s="31">
        <f>50610</f>
        <v>50610</v>
      </c>
      <c r="N151" s="32" t="s">
        <v>1110</v>
      </c>
      <c r="O151" s="31">
        <f>48030</f>
        <v>48030</v>
      </c>
      <c r="P151" s="32" t="s">
        <v>680</v>
      </c>
      <c r="Q151" s="31">
        <f>50300</f>
        <v>50300</v>
      </c>
      <c r="R151" s="32" t="s">
        <v>777</v>
      </c>
      <c r="S151" s="33">
        <f>49432.86</f>
        <v>49432.86</v>
      </c>
      <c r="T151" s="30">
        <f>2650</f>
        <v>2650</v>
      </c>
      <c r="U151" s="30" t="str">
        <f>"－"</f>
        <v>－</v>
      </c>
      <c r="V151" s="30">
        <f>130774200</f>
        <v>130774200</v>
      </c>
      <c r="W151" s="30" t="str">
        <f>"－"</f>
        <v>－</v>
      </c>
      <c r="X151" s="34">
        <f>21</f>
        <v>21</v>
      </c>
    </row>
    <row r="152" spans="1:24">
      <c r="A152" s="25" t="s">
        <v>1144</v>
      </c>
      <c r="B152" s="25" t="s">
        <v>411</v>
      </c>
      <c r="C152" s="25" t="s">
        <v>412</v>
      </c>
      <c r="D152" s="25" t="s">
        <v>976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5510</f>
        <v>5510</v>
      </c>
      <c r="L152" s="32" t="s">
        <v>1110</v>
      </c>
      <c r="M152" s="31">
        <f>5689</f>
        <v>5689</v>
      </c>
      <c r="N152" s="32" t="s">
        <v>777</v>
      </c>
      <c r="O152" s="31">
        <f>5250</f>
        <v>5250</v>
      </c>
      <c r="P152" s="32" t="s">
        <v>680</v>
      </c>
      <c r="Q152" s="31">
        <f>5555</f>
        <v>5555</v>
      </c>
      <c r="R152" s="32" t="s">
        <v>777</v>
      </c>
      <c r="S152" s="33">
        <f>5451.38</f>
        <v>5451.38</v>
      </c>
      <c r="T152" s="30">
        <f>63140</f>
        <v>63140</v>
      </c>
      <c r="U152" s="30" t="str">
        <f>"－"</f>
        <v>－</v>
      </c>
      <c r="V152" s="30">
        <f>344751800</f>
        <v>344751800</v>
      </c>
      <c r="W152" s="30" t="str">
        <f>"－"</f>
        <v>－</v>
      </c>
      <c r="X152" s="34">
        <f>21</f>
        <v>21</v>
      </c>
    </row>
    <row r="153" spans="1:24">
      <c r="A153" s="25" t="s">
        <v>1144</v>
      </c>
      <c r="B153" s="25" t="s">
        <v>413</v>
      </c>
      <c r="C153" s="25" t="s">
        <v>977</v>
      </c>
      <c r="D153" s="25" t="s">
        <v>978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1962</f>
        <v>1962</v>
      </c>
      <c r="L153" s="32" t="s">
        <v>1110</v>
      </c>
      <c r="M153" s="31">
        <f>2110</f>
        <v>2110</v>
      </c>
      <c r="N153" s="32" t="s">
        <v>777</v>
      </c>
      <c r="O153" s="31">
        <f>1921</f>
        <v>1921</v>
      </c>
      <c r="P153" s="32" t="s">
        <v>874</v>
      </c>
      <c r="Q153" s="31">
        <f>2055.5</f>
        <v>2055.5</v>
      </c>
      <c r="R153" s="32" t="s">
        <v>777</v>
      </c>
      <c r="S153" s="33">
        <f>1980.88</f>
        <v>1980.88</v>
      </c>
      <c r="T153" s="30">
        <f>169670</f>
        <v>169670</v>
      </c>
      <c r="U153" s="30">
        <f>4200</f>
        <v>4200</v>
      </c>
      <c r="V153" s="30">
        <f>338448290</f>
        <v>338448290</v>
      </c>
      <c r="W153" s="30">
        <f>8252160</f>
        <v>8252160</v>
      </c>
      <c r="X153" s="34">
        <f>21</f>
        <v>21</v>
      </c>
    </row>
    <row r="154" spans="1:24">
      <c r="A154" s="25" t="s">
        <v>1144</v>
      </c>
      <c r="B154" s="25" t="s">
        <v>414</v>
      </c>
      <c r="C154" s="25" t="s">
        <v>415</v>
      </c>
      <c r="D154" s="25" t="s">
        <v>416</v>
      </c>
      <c r="E154" s="26" t="s">
        <v>43</v>
      </c>
      <c r="F154" s="27" t="s">
        <v>43</v>
      </c>
      <c r="G154" s="28" t="s">
        <v>43</v>
      </c>
      <c r="H154" s="29" t="s">
        <v>240</v>
      </c>
      <c r="I154" s="29" t="s">
        <v>44</v>
      </c>
      <c r="J154" s="30">
        <v>100</v>
      </c>
      <c r="K154" s="31">
        <f>233</f>
        <v>233</v>
      </c>
      <c r="L154" s="32" t="s">
        <v>1110</v>
      </c>
      <c r="M154" s="31">
        <f>259.9</f>
        <v>259.89999999999998</v>
      </c>
      <c r="N154" s="32" t="s">
        <v>677</v>
      </c>
      <c r="O154" s="31">
        <f>229.5</f>
        <v>229.5</v>
      </c>
      <c r="P154" s="32" t="s">
        <v>675</v>
      </c>
      <c r="Q154" s="31">
        <f>252</f>
        <v>252</v>
      </c>
      <c r="R154" s="32" t="s">
        <v>777</v>
      </c>
      <c r="S154" s="33">
        <f>247.33</f>
        <v>247.33</v>
      </c>
      <c r="T154" s="30">
        <f>351700</f>
        <v>351700</v>
      </c>
      <c r="U154" s="30">
        <f>700</f>
        <v>700</v>
      </c>
      <c r="V154" s="30">
        <f>87589050</f>
        <v>87589050</v>
      </c>
      <c r="W154" s="30">
        <f>176760</f>
        <v>176760</v>
      </c>
      <c r="X154" s="34">
        <f>21</f>
        <v>21</v>
      </c>
    </row>
    <row r="155" spans="1:24">
      <c r="A155" s="25" t="s">
        <v>1144</v>
      </c>
      <c r="B155" s="25" t="s">
        <v>417</v>
      </c>
      <c r="C155" s="25" t="s">
        <v>418</v>
      </c>
      <c r="D155" s="25" t="s">
        <v>419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1635</f>
        <v>1635</v>
      </c>
      <c r="L155" s="32" t="s">
        <v>1110</v>
      </c>
      <c r="M155" s="31">
        <f>1811</f>
        <v>1811</v>
      </c>
      <c r="N155" s="32" t="s">
        <v>777</v>
      </c>
      <c r="O155" s="31">
        <f>1625</f>
        <v>1625</v>
      </c>
      <c r="P155" s="32" t="s">
        <v>1116</v>
      </c>
      <c r="Q155" s="31">
        <f>1811</f>
        <v>1811</v>
      </c>
      <c r="R155" s="32" t="s">
        <v>777</v>
      </c>
      <c r="S155" s="33">
        <f>1729</f>
        <v>1729</v>
      </c>
      <c r="T155" s="30">
        <f>3190</f>
        <v>3190</v>
      </c>
      <c r="U155" s="30" t="str">
        <f t="shared" ref="U155:U168" si="1">"－"</f>
        <v>－</v>
      </c>
      <c r="V155" s="30">
        <f>5621915</f>
        <v>5621915</v>
      </c>
      <c r="W155" s="30" t="str">
        <f t="shared" ref="W155:W168" si="2">"－"</f>
        <v>－</v>
      </c>
      <c r="X155" s="34">
        <f>16</f>
        <v>16</v>
      </c>
    </row>
    <row r="156" spans="1:24">
      <c r="A156" s="25" t="s">
        <v>1144</v>
      </c>
      <c r="B156" s="25" t="s">
        <v>420</v>
      </c>
      <c r="C156" s="25" t="s">
        <v>421</v>
      </c>
      <c r="D156" s="25" t="s">
        <v>422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562</f>
        <v>562</v>
      </c>
      <c r="L156" s="32" t="s">
        <v>1110</v>
      </c>
      <c r="M156" s="31">
        <f>597.1</f>
        <v>597.1</v>
      </c>
      <c r="N156" s="32" t="s">
        <v>875</v>
      </c>
      <c r="O156" s="31">
        <f>560.5</f>
        <v>560.5</v>
      </c>
      <c r="P156" s="32" t="s">
        <v>1110</v>
      </c>
      <c r="Q156" s="31">
        <f>595.2</f>
        <v>595.20000000000005</v>
      </c>
      <c r="R156" s="32" t="s">
        <v>777</v>
      </c>
      <c r="S156" s="33">
        <f>587.58</f>
        <v>587.58000000000004</v>
      </c>
      <c r="T156" s="30">
        <f>102490</f>
        <v>102490</v>
      </c>
      <c r="U156" s="30" t="str">
        <f t="shared" si="1"/>
        <v>－</v>
      </c>
      <c r="V156" s="30">
        <f>60120237</f>
        <v>60120237</v>
      </c>
      <c r="W156" s="30" t="str">
        <f t="shared" si="2"/>
        <v>－</v>
      </c>
      <c r="X156" s="34">
        <f>21</f>
        <v>21</v>
      </c>
    </row>
    <row r="157" spans="1:24">
      <c r="A157" s="25" t="s">
        <v>1144</v>
      </c>
      <c r="B157" s="25" t="s">
        <v>423</v>
      </c>
      <c r="C157" s="25" t="s">
        <v>424</v>
      </c>
      <c r="D157" s="25" t="s">
        <v>425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2349.5</f>
        <v>2349.5</v>
      </c>
      <c r="L157" s="32" t="s">
        <v>1110</v>
      </c>
      <c r="M157" s="31">
        <f>2614.5</f>
        <v>2614.5</v>
      </c>
      <c r="N157" s="32" t="s">
        <v>777</v>
      </c>
      <c r="O157" s="31">
        <f>2134</f>
        <v>2134</v>
      </c>
      <c r="P157" s="32" t="s">
        <v>1110</v>
      </c>
      <c r="Q157" s="31">
        <f>2582.5</f>
        <v>2582.5</v>
      </c>
      <c r="R157" s="32" t="s">
        <v>777</v>
      </c>
      <c r="S157" s="33">
        <f>2381.69</f>
        <v>2381.69</v>
      </c>
      <c r="T157" s="30">
        <f>13830</f>
        <v>13830</v>
      </c>
      <c r="U157" s="30" t="str">
        <f t="shared" si="1"/>
        <v>－</v>
      </c>
      <c r="V157" s="30">
        <f>33467830</f>
        <v>33467830</v>
      </c>
      <c r="W157" s="30" t="str">
        <f t="shared" si="2"/>
        <v>－</v>
      </c>
      <c r="X157" s="34">
        <f>21</f>
        <v>21</v>
      </c>
    </row>
    <row r="158" spans="1:24">
      <c r="A158" s="25" t="s">
        <v>1144</v>
      </c>
      <c r="B158" s="25" t="s">
        <v>426</v>
      </c>
      <c r="C158" s="25" t="s">
        <v>427</v>
      </c>
      <c r="D158" s="25" t="s">
        <v>428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920</f>
        <v>920</v>
      </c>
      <c r="L158" s="32" t="s">
        <v>1110</v>
      </c>
      <c r="M158" s="31">
        <f>970.5</f>
        <v>970.5</v>
      </c>
      <c r="N158" s="32" t="s">
        <v>777</v>
      </c>
      <c r="O158" s="31">
        <f>917.1</f>
        <v>917.1</v>
      </c>
      <c r="P158" s="32" t="s">
        <v>1145</v>
      </c>
      <c r="Q158" s="31">
        <f>968.9</f>
        <v>968.9</v>
      </c>
      <c r="R158" s="32" t="s">
        <v>777</v>
      </c>
      <c r="S158" s="33">
        <f>940.62</f>
        <v>940.62</v>
      </c>
      <c r="T158" s="30">
        <f>44610</f>
        <v>44610</v>
      </c>
      <c r="U158" s="30" t="str">
        <f t="shared" si="1"/>
        <v>－</v>
      </c>
      <c r="V158" s="30">
        <f>42154894</f>
        <v>42154894</v>
      </c>
      <c r="W158" s="30" t="str">
        <f t="shared" si="2"/>
        <v>－</v>
      </c>
      <c r="X158" s="34">
        <f>21</f>
        <v>21</v>
      </c>
    </row>
    <row r="159" spans="1:24">
      <c r="A159" s="25" t="s">
        <v>1144</v>
      </c>
      <c r="B159" s="25" t="s">
        <v>429</v>
      </c>
      <c r="C159" s="25" t="s">
        <v>430</v>
      </c>
      <c r="D159" s="25" t="s">
        <v>431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580</f>
        <v>580</v>
      </c>
      <c r="L159" s="32" t="s">
        <v>1110</v>
      </c>
      <c r="M159" s="31">
        <f>616.5</f>
        <v>616.5</v>
      </c>
      <c r="N159" s="32" t="s">
        <v>777</v>
      </c>
      <c r="O159" s="31">
        <f>570.1</f>
        <v>570.1</v>
      </c>
      <c r="P159" s="32" t="s">
        <v>1145</v>
      </c>
      <c r="Q159" s="31">
        <f>612</f>
        <v>612</v>
      </c>
      <c r="R159" s="32" t="s">
        <v>777</v>
      </c>
      <c r="S159" s="33">
        <f>589.22</f>
        <v>589.22</v>
      </c>
      <c r="T159" s="30">
        <f>150300</f>
        <v>150300</v>
      </c>
      <c r="U159" s="30" t="str">
        <f t="shared" si="1"/>
        <v>－</v>
      </c>
      <c r="V159" s="30">
        <f>88754468</f>
        <v>88754468</v>
      </c>
      <c r="W159" s="30" t="str">
        <f t="shared" si="2"/>
        <v>－</v>
      </c>
      <c r="X159" s="34">
        <f>21</f>
        <v>21</v>
      </c>
    </row>
    <row r="160" spans="1:24">
      <c r="A160" s="25" t="s">
        <v>1144</v>
      </c>
      <c r="B160" s="25" t="s">
        <v>432</v>
      </c>
      <c r="C160" s="25" t="s">
        <v>433</v>
      </c>
      <c r="D160" s="25" t="s">
        <v>434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1152</f>
        <v>1152</v>
      </c>
      <c r="L160" s="32" t="s">
        <v>1110</v>
      </c>
      <c r="M160" s="31">
        <f>1282</f>
        <v>1282</v>
      </c>
      <c r="N160" s="32" t="s">
        <v>683</v>
      </c>
      <c r="O160" s="31">
        <f>1147</f>
        <v>1147</v>
      </c>
      <c r="P160" s="32" t="s">
        <v>1110</v>
      </c>
      <c r="Q160" s="31">
        <f>1270</f>
        <v>1270</v>
      </c>
      <c r="R160" s="32" t="s">
        <v>777</v>
      </c>
      <c r="S160" s="33">
        <f>1213.57</f>
        <v>1213.57</v>
      </c>
      <c r="T160" s="30">
        <f>1373591</f>
        <v>1373591</v>
      </c>
      <c r="U160" s="30" t="str">
        <f t="shared" si="1"/>
        <v>－</v>
      </c>
      <c r="V160" s="30">
        <f>1669738296</f>
        <v>1669738296</v>
      </c>
      <c r="W160" s="30" t="str">
        <f t="shared" si="2"/>
        <v>－</v>
      </c>
      <c r="X160" s="34">
        <f>21</f>
        <v>21</v>
      </c>
    </row>
    <row r="161" spans="1:24">
      <c r="A161" s="25" t="s">
        <v>1144</v>
      </c>
      <c r="B161" s="25" t="s">
        <v>435</v>
      </c>
      <c r="C161" s="25" t="s">
        <v>436</v>
      </c>
      <c r="D161" s="25" t="s">
        <v>437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</v>
      </c>
      <c r="K161" s="31">
        <f>1537</f>
        <v>1537</v>
      </c>
      <c r="L161" s="32" t="s">
        <v>1110</v>
      </c>
      <c r="M161" s="31">
        <f>1677.5</f>
        <v>1677.5</v>
      </c>
      <c r="N161" s="32" t="s">
        <v>760</v>
      </c>
      <c r="O161" s="31">
        <f>1537</f>
        <v>1537</v>
      </c>
      <c r="P161" s="32" t="s">
        <v>1110</v>
      </c>
      <c r="Q161" s="31">
        <f>1644.5</f>
        <v>1644.5</v>
      </c>
      <c r="R161" s="32" t="s">
        <v>777</v>
      </c>
      <c r="S161" s="33">
        <f>1633.79</f>
        <v>1633.79</v>
      </c>
      <c r="T161" s="30">
        <f>150650</f>
        <v>150650</v>
      </c>
      <c r="U161" s="30" t="str">
        <f t="shared" si="1"/>
        <v>－</v>
      </c>
      <c r="V161" s="30">
        <f>245554855</f>
        <v>245554855</v>
      </c>
      <c r="W161" s="30" t="str">
        <f t="shared" si="2"/>
        <v>－</v>
      </c>
      <c r="X161" s="34">
        <f>21</f>
        <v>21</v>
      </c>
    </row>
    <row r="162" spans="1:24">
      <c r="A162" s="25" t="s">
        <v>1144</v>
      </c>
      <c r="B162" s="25" t="s">
        <v>438</v>
      </c>
      <c r="C162" s="25" t="s">
        <v>439</v>
      </c>
      <c r="D162" s="25" t="s">
        <v>440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</v>
      </c>
      <c r="K162" s="31">
        <f>8840</f>
        <v>8840</v>
      </c>
      <c r="L162" s="32" t="s">
        <v>1110</v>
      </c>
      <c r="M162" s="31">
        <f>10925</f>
        <v>10925</v>
      </c>
      <c r="N162" s="32" t="s">
        <v>1113</v>
      </c>
      <c r="O162" s="31">
        <f>8800</f>
        <v>8800</v>
      </c>
      <c r="P162" s="32" t="s">
        <v>1116</v>
      </c>
      <c r="Q162" s="31">
        <f>9241</f>
        <v>9241</v>
      </c>
      <c r="R162" s="32" t="s">
        <v>777</v>
      </c>
      <c r="S162" s="33">
        <f>9077.7</f>
        <v>9077.7000000000007</v>
      </c>
      <c r="T162" s="30">
        <f>3636</f>
        <v>3636</v>
      </c>
      <c r="U162" s="30" t="str">
        <f t="shared" si="1"/>
        <v>－</v>
      </c>
      <c r="V162" s="30">
        <f>33508918</f>
        <v>33508918</v>
      </c>
      <c r="W162" s="30" t="str">
        <f t="shared" si="2"/>
        <v>－</v>
      </c>
      <c r="X162" s="34">
        <f>20</f>
        <v>20</v>
      </c>
    </row>
    <row r="163" spans="1:24">
      <c r="A163" s="25" t="s">
        <v>1144</v>
      </c>
      <c r="B163" s="25" t="s">
        <v>441</v>
      </c>
      <c r="C163" s="25" t="s">
        <v>442</v>
      </c>
      <c r="D163" s="25" t="s">
        <v>443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100</v>
      </c>
      <c r="K163" s="31">
        <f>463.7</f>
        <v>463.7</v>
      </c>
      <c r="L163" s="32" t="s">
        <v>1110</v>
      </c>
      <c r="M163" s="31">
        <f>549.8</f>
        <v>549.79999999999995</v>
      </c>
      <c r="N163" s="32" t="s">
        <v>875</v>
      </c>
      <c r="O163" s="31">
        <f>463.7</f>
        <v>463.7</v>
      </c>
      <c r="P163" s="32" t="s">
        <v>1110</v>
      </c>
      <c r="Q163" s="31">
        <f>533.4</f>
        <v>533.4</v>
      </c>
      <c r="R163" s="32" t="s">
        <v>777</v>
      </c>
      <c r="S163" s="33">
        <f>510.03</f>
        <v>510.03</v>
      </c>
      <c r="T163" s="30">
        <f>342000</f>
        <v>342000</v>
      </c>
      <c r="U163" s="30" t="str">
        <f t="shared" si="1"/>
        <v>－</v>
      </c>
      <c r="V163" s="30">
        <f>177256360</f>
        <v>177256360</v>
      </c>
      <c r="W163" s="30" t="str">
        <f t="shared" si="2"/>
        <v>－</v>
      </c>
      <c r="X163" s="34">
        <f>21</f>
        <v>21</v>
      </c>
    </row>
    <row r="164" spans="1:24">
      <c r="A164" s="25" t="s">
        <v>1144</v>
      </c>
      <c r="B164" s="25" t="s">
        <v>444</v>
      </c>
      <c r="C164" s="25" t="s">
        <v>445</v>
      </c>
      <c r="D164" s="25" t="s">
        <v>446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</v>
      </c>
      <c r="K164" s="31">
        <f>5436</f>
        <v>5436</v>
      </c>
      <c r="L164" s="32" t="s">
        <v>1110</v>
      </c>
      <c r="M164" s="31">
        <f>6698</f>
        <v>6698</v>
      </c>
      <c r="N164" s="32" t="s">
        <v>777</v>
      </c>
      <c r="O164" s="31">
        <f>5433</f>
        <v>5433</v>
      </c>
      <c r="P164" s="32" t="s">
        <v>1110</v>
      </c>
      <c r="Q164" s="31">
        <f>6593</f>
        <v>6593</v>
      </c>
      <c r="R164" s="32" t="s">
        <v>777</v>
      </c>
      <c r="S164" s="33">
        <f>5964.48</f>
        <v>5964.48</v>
      </c>
      <c r="T164" s="30">
        <f>127820</f>
        <v>127820</v>
      </c>
      <c r="U164" s="30" t="str">
        <f t="shared" si="1"/>
        <v>－</v>
      </c>
      <c r="V164" s="30">
        <f>772298210</f>
        <v>772298210</v>
      </c>
      <c r="W164" s="30" t="str">
        <f t="shared" si="2"/>
        <v>－</v>
      </c>
      <c r="X164" s="34">
        <f>21</f>
        <v>21</v>
      </c>
    </row>
    <row r="165" spans="1:24">
      <c r="A165" s="25" t="s">
        <v>1144</v>
      </c>
      <c r="B165" s="25" t="s">
        <v>447</v>
      </c>
      <c r="C165" s="25" t="s">
        <v>448</v>
      </c>
      <c r="D165" s="25" t="s">
        <v>449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10</v>
      </c>
      <c r="K165" s="31">
        <f>2426.5</f>
        <v>2426.5</v>
      </c>
      <c r="L165" s="32" t="s">
        <v>1110</v>
      </c>
      <c r="M165" s="31">
        <f>2800</f>
        <v>2800</v>
      </c>
      <c r="N165" s="32" t="s">
        <v>778</v>
      </c>
      <c r="O165" s="31">
        <f>2308</f>
        <v>2308</v>
      </c>
      <c r="P165" s="32" t="s">
        <v>1116</v>
      </c>
      <c r="Q165" s="31">
        <f>2767.5</f>
        <v>2767.5</v>
      </c>
      <c r="R165" s="32" t="s">
        <v>777</v>
      </c>
      <c r="S165" s="33">
        <f>2554.93</f>
        <v>2554.9299999999998</v>
      </c>
      <c r="T165" s="30">
        <f>59170</f>
        <v>59170</v>
      </c>
      <c r="U165" s="30" t="str">
        <f t="shared" si="1"/>
        <v>－</v>
      </c>
      <c r="V165" s="30">
        <f>154431615</f>
        <v>154431615</v>
      </c>
      <c r="W165" s="30" t="str">
        <f t="shared" si="2"/>
        <v>－</v>
      </c>
      <c r="X165" s="34">
        <f>21</f>
        <v>21</v>
      </c>
    </row>
    <row r="166" spans="1:24">
      <c r="A166" s="25" t="s">
        <v>1144</v>
      </c>
      <c r="B166" s="25" t="s">
        <v>450</v>
      </c>
      <c r="C166" s="25" t="s">
        <v>451</v>
      </c>
      <c r="D166" s="25" t="s">
        <v>452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</v>
      </c>
      <c r="K166" s="31">
        <f>3540</f>
        <v>3540</v>
      </c>
      <c r="L166" s="32" t="s">
        <v>1110</v>
      </c>
      <c r="M166" s="31">
        <f>3925</f>
        <v>3925</v>
      </c>
      <c r="N166" s="32" t="s">
        <v>676</v>
      </c>
      <c r="O166" s="31">
        <f>3400</f>
        <v>3400</v>
      </c>
      <c r="P166" s="32" t="s">
        <v>1145</v>
      </c>
      <c r="Q166" s="31">
        <f>3810</f>
        <v>3810</v>
      </c>
      <c r="R166" s="32" t="s">
        <v>777</v>
      </c>
      <c r="S166" s="33">
        <f>3588.33</f>
        <v>3588.33</v>
      </c>
      <c r="T166" s="30">
        <f>277770</f>
        <v>277770</v>
      </c>
      <c r="U166" s="30" t="str">
        <f t="shared" si="1"/>
        <v>－</v>
      </c>
      <c r="V166" s="30">
        <f>1003955540</f>
        <v>1003955540</v>
      </c>
      <c r="W166" s="30" t="str">
        <f t="shared" si="2"/>
        <v>－</v>
      </c>
      <c r="X166" s="34">
        <f>21</f>
        <v>21</v>
      </c>
    </row>
    <row r="167" spans="1:24">
      <c r="A167" s="25" t="s">
        <v>1144</v>
      </c>
      <c r="B167" s="25" t="s">
        <v>453</v>
      </c>
      <c r="C167" s="25" t="s">
        <v>454</v>
      </c>
      <c r="D167" s="25" t="s">
        <v>455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</v>
      </c>
      <c r="K167" s="31">
        <f>3430</f>
        <v>3430</v>
      </c>
      <c r="L167" s="32" t="s">
        <v>1110</v>
      </c>
      <c r="M167" s="31">
        <f>3455</f>
        <v>3455</v>
      </c>
      <c r="N167" s="32" t="s">
        <v>676</v>
      </c>
      <c r="O167" s="31">
        <f>3230</f>
        <v>3230</v>
      </c>
      <c r="P167" s="32" t="s">
        <v>1145</v>
      </c>
      <c r="Q167" s="31">
        <f>3420</f>
        <v>3420</v>
      </c>
      <c r="R167" s="32" t="s">
        <v>777</v>
      </c>
      <c r="S167" s="33">
        <f>3337.86</f>
        <v>3337.86</v>
      </c>
      <c r="T167" s="30">
        <f>24606</f>
        <v>24606</v>
      </c>
      <c r="U167" s="30" t="str">
        <f t="shared" si="1"/>
        <v>－</v>
      </c>
      <c r="V167" s="30">
        <f>82204775</f>
        <v>82204775</v>
      </c>
      <c r="W167" s="30" t="str">
        <f t="shared" si="2"/>
        <v>－</v>
      </c>
      <c r="X167" s="34">
        <f>21</f>
        <v>21</v>
      </c>
    </row>
    <row r="168" spans="1:24">
      <c r="A168" s="25" t="s">
        <v>1144</v>
      </c>
      <c r="B168" s="25" t="s">
        <v>456</v>
      </c>
      <c r="C168" s="25" t="s">
        <v>457</v>
      </c>
      <c r="D168" s="25" t="s">
        <v>458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4269</f>
        <v>4269</v>
      </c>
      <c r="L168" s="32" t="s">
        <v>1110</v>
      </c>
      <c r="M168" s="31">
        <f>4549</f>
        <v>4549</v>
      </c>
      <c r="N168" s="32" t="s">
        <v>1113</v>
      </c>
      <c r="O168" s="31">
        <f>4214</f>
        <v>4214</v>
      </c>
      <c r="P168" s="32" t="s">
        <v>680</v>
      </c>
      <c r="Q168" s="31">
        <f>4392</f>
        <v>4392</v>
      </c>
      <c r="R168" s="32" t="s">
        <v>777</v>
      </c>
      <c r="S168" s="33">
        <f>4321.86</f>
        <v>4321.8599999999997</v>
      </c>
      <c r="T168" s="30">
        <f>14740</f>
        <v>14740</v>
      </c>
      <c r="U168" s="30" t="str">
        <f t="shared" si="1"/>
        <v>－</v>
      </c>
      <c r="V168" s="30">
        <f>63953760</f>
        <v>63953760</v>
      </c>
      <c r="W168" s="30" t="str">
        <f t="shared" si="2"/>
        <v>－</v>
      </c>
      <c r="X168" s="34">
        <f>21</f>
        <v>21</v>
      </c>
    </row>
    <row r="169" spans="1:24">
      <c r="A169" s="25" t="s">
        <v>1144</v>
      </c>
      <c r="B169" s="25" t="s">
        <v>459</v>
      </c>
      <c r="C169" s="25" t="s">
        <v>460</v>
      </c>
      <c r="D169" s="25" t="s">
        <v>979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3050</f>
        <v>3050</v>
      </c>
      <c r="L169" s="32" t="s">
        <v>1110</v>
      </c>
      <c r="M169" s="31">
        <f>3058</f>
        <v>3058</v>
      </c>
      <c r="N169" s="32" t="s">
        <v>760</v>
      </c>
      <c r="O169" s="31">
        <f>2911.5</f>
        <v>2911.5</v>
      </c>
      <c r="P169" s="32" t="s">
        <v>680</v>
      </c>
      <c r="Q169" s="31">
        <f>3036</f>
        <v>3036</v>
      </c>
      <c r="R169" s="32" t="s">
        <v>777</v>
      </c>
      <c r="S169" s="33">
        <f>2996.83</f>
        <v>2996.83</v>
      </c>
      <c r="T169" s="30">
        <f>1399810</f>
        <v>1399810</v>
      </c>
      <c r="U169" s="30">
        <f>1093510</f>
        <v>1093510</v>
      </c>
      <c r="V169" s="30">
        <f>4172494784</f>
        <v>4172494784</v>
      </c>
      <c r="W169" s="30">
        <f>3257085039</f>
        <v>3257085039</v>
      </c>
      <c r="X169" s="34">
        <f>21</f>
        <v>21</v>
      </c>
    </row>
    <row r="170" spans="1:24">
      <c r="A170" s="25" t="s">
        <v>1144</v>
      </c>
      <c r="B170" s="25" t="s">
        <v>461</v>
      </c>
      <c r="C170" s="25" t="s">
        <v>980</v>
      </c>
      <c r="D170" s="25" t="s">
        <v>981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434.1</f>
        <v>434.1</v>
      </c>
      <c r="L170" s="32" t="s">
        <v>1110</v>
      </c>
      <c r="M170" s="31">
        <f>462.5</f>
        <v>462.5</v>
      </c>
      <c r="N170" s="32" t="s">
        <v>760</v>
      </c>
      <c r="O170" s="31">
        <f>433.5</f>
        <v>433.5</v>
      </c>
      <c r="P170" s="32" t="s">
        <v>1110</v>
      </c>
      <c r="Q170" s="31">
        <f>452.5</f>
        <v>452.5</v>
      </c>
      <c r="R170" s="32" t="s">
        <v>777</v>
      </c>
      <c r="S170" s="33">
        <f>450.24</f>
        <v>450.24</v>
      </c>
      <c r="T170" s="30">
        <f>30983770</f>
        <v>30983770</v>
      </c>
      <c r="U170" s="30">
        <f>30500</f>
        <v>30500</v>
      </c>
      <c r="V170" s="30">
        <f>13949255187</f>
        <v>13949255187</v>
      </c>
      <c r="W170" s="30">
        <f>13842705</f>
        <v>13842705</v>
      </c>
      <c r="X170" s="34">
        <f>21</f>
        <v>21</v>
      </c>
    </row>
    <row r="171" spans="1:24">
      <c r="A171" s="25" t="s">
        <v>1144</v>
      </c>
      <c r="B171" s="25" t="s">
        <v>1132</v>
      </c>
      <c r="C171" s="25" t="s">
        <v>1131</v>
      </c>
      <c r="D171" s="25" t="s">
        <v>1130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</v>
      </c>
      <c r="K171" s="31">
        <f>2000</f>
        <v>2000</v>
      </c>
      <c r="L171" s="32" t="s">
        <v>1110</v>
      </c>
      <c r="M171" s="31">
        <f>2020</f>
        <v>2020</v>
      </c>
      <c r="N171" s="32" t="s">
        <v>875</v>
      </c>
      <c r="O171" s="31">
        <f>1875</f>
        <v>1875</v>
      </c>
      <c r="P171" s="32" t="s">
        <v>680</v>
      </c>
      <c r="Q171" s="31">
        <f>1976</f>
        <v>1976</v>
      </c>
      <c r="R171" s="32" t="s">
        <v>777</v>
      </c>
      <c r="S171" s="33">
        <f>1956.95</f>
        <v>1956.95</v>
      </c>
      <c r="T171" s="30">
        <f>48305</f>
        <v>48305</v>
      </c>
      <c r="U171" s="30" t="str">
        <f>"－"</f>
        <v>－</v>
      </c>
      <c r="V171" s="30">
        <f>94130310</f>
        <v>94130310</v>
      </c>
      <c r="W171" s="30" t="str">
        <f>"－"</f>
        <v>－</v>
      </c>
      <c r="X171" s="34">
        <f>21</f>
        <v>21</v>
      </c>
    </row>
    <row r="172" spans="1:24">
      <c r="A172" s="25" t="s">
        <v>1144</v>
      </c>
      <c r="B172" s="25" t="s">
        <v>1147</v>
      </c>
      <c r="C172" s="25" t="s">
        <v>1148</v>
      </c>
      <c r="D172" s="25" t="s">
        <v>1149</v>
      </c>
      <c r="E172" s="26" t="s">
        <v>672</v>
      </c>
      <c r="F172" s="27" t="s">
        <v>673</v>
      </c>
      <c r="G172" s="28" t="s">
        <v>1150</v>
      </c>
      <c r="H172" s="29"/>
      <c r="I172" s="29" t="s">
        <v>44</v>
      </c>
      <c r="J172" s="30">
        <v>1</v>
      </c>
      <c r="K172" s="31">
        <f>1010</f>
        <v>1010</v>
      </c>
      <c r="L172" s="32" t="s">
        <v>759</v>
      </c>
      <c r="M172" s="31">
        <f>1026</f>
        <v>1026</v>
      </c>
      <c r="N172" s="32" t="s">
        <v>677</v>
      </c>
      <c r="O172" s="31">
        <f>940</f>
        <v>940</v>
      </c>
      <c r="P172" s="32" t="s">
        <v>874</v>
      </c>
      <c r="Q172" s="31">
        <f>1011</f>
        <v>1011</v>
      </c>
      <c r="R172" s="32" t="s">
        <v>777</v>
      </c>
      <c r="S172" s="33">
        <f>985.57</f>
        <v>985.57</v>
      </c>
      <c r="T172" s="30">
        <f>5223921</f>
        <v>5223921</v>
      </c>
      <c r="U172" s="30">
        <f>2012</f>
        <v>2012</v>
      </c>
      <c r="V172" s="30">
        <f>5160953552</f>
        <v>5160953552</v>
      </c>
      <c r="W172" s="30">
        <f>1947225</f>
        <v>1947225</v>
      </c>
      <c r="X172" s="34">
        <f>14</f>
        <v>14</v>
      </c>
    </row>
    <row r="173" spans="1:24">
      <c r="A173" s="25" t="s">
        <v>1144</v>
      </c>
      <c r="B173" s="25" t="s">
        <v>1151</v>
      </c>
      <c r="C173" s="25" t="s">
        <v>1152</v>
      </c>
      <c r="D173" s="25" t="s">
        <v>1153</v>
      </c>
      <c r="E173" s="26" t="s">
        <v>672</v>
      </c>
      <c r="F173" s="27" t="s">
        <v>673</v>
      </c>
      <c r="G173" s="28" t="s">
        <v>1150</v>
      </c>
      <c r="H173" s="29"/>
      <c r="I173" s="29" t="s">
        <v>44</v>
      </c>
      <c r="J173" s="30">
        <v>10</v>
      </c>
      <c r="K173" s="31">
        <f>303.2</f>
        <v>303.2</v>
      </c>
      <c r="L173" s="32" t="s">
        <v>759</v>
      </c>
      <c r="M173" s="31">
        <f>303.7</f>
        <v>303.7</v>
      </c>
      <c r="N173" s="32" t="s">
        <v>759</v>
      </c>
      <c r="O173" s="31">
        <f>283.9</f>
        <v>283.89999999999998</v>
      </c>
      <c r="P173" s="32" t="s">
        <v>676</v>
      </c>
      <c r="Q173" s="31">
        <f>289</f>
        <v>289</v>
      </c>
      <c r="R173" s="32" t="s">
        <v>777</v>
      </c>
      <c r="S173" s="33">
        <f>292.13</f>
        <v>292.13</v>
      </c>
      <c r="T173" s="30">
        <f>12536500</f>
        <v>12536500</v>
      </c>
      <c r="U173" s="30">
        <f>11131000</f>
        <v>11131000</v>
      </c>
      <c r="V173" s="30">
        <f>3706581671</f>
        <v>3706581671</v>
      </c>
      <c r="W173" s="30">
        <f>3297586269</f>
        <v>3297586269</v>
      </c>
      <c r="X173" s="34">
        <f>14</f>
        <v>14</v>
      </c>
    </row>
    <row r="174" spans="1:24">
      <c r="A174" s="25" t="s">
        <v>1144</v>
      </c>
      <c r="B174" s="25" t="s">
        <v>1154</v>
      </c>
      <c r="C174" s="25" t="s">
        <v>1155</v>
      </c>
      <c r="D174" s="25" t="s">
        <v>1156</v>
      </c>
      <c r="E174" s="26" t="s">
        <v>672</v>
      </c>
      <c r="F174" s="27" t="s">
        <v>673</v>
      </c>
      <c r="G174" s="28" t="s">
        <v>1150</v>
      </c>
      <c r="H174" s="29"/>
      <c r="I174" s="29" t="s">
        <v>44</v>
      </c>
      <c r="J174" s="30">
        <v>10</v>
      </c>
      <c r="K174" s="31">
        <f>302.8</f>
        <v>302.8</v>
      </c>
      <c r="L174" s="32" t="s">
        <v>759</v>
      </c>
      <c r="M174" s="31">
        <f>303.6</f>
        <v>303.60000000000002</v>
      </c>
      <c r="N174" s="32" t="s">
        <v>759</v>
      </c>
      <c r="O174" s="31">
        <f>291.8</f>
        <v>291.8</v>
      </c>
      <c r="P174" s="32" t="s">
        <v>682</v>
      </c>
      <c r="Q174" s="31">
        <f>299.8</f>
        <v>299.8</v>
      </c>
      <c r="R174" s="32" t="s">
        <v>777</v>
      </c>
      <c r="S174" s="33">
        <f>297.79</f>
        <v>297.79000000000002</v>
      </c>
      <c r="T174" s="30">
        <f>1357180</f>
        <v>1357180</v>
      </c>
      <c r="U174" s="30" t="str">
        <f>"－"</f>
        <v>－</v>
      </c>
      <c r="V174" s="30">
        <f>406155795</f>
        <v>406155795</v>
      </c>
      <c r="W174" s="30" t="str">
        <f>"－"</f>
        <v>－</v>
      </c>
      <c r="X174" s="34">
        <f>14</f>
        <v>14</v>
      </c>
    </row>
    <row r="175" spans="1:24">
      <c r="A175" s="25" t="s">
        <v>1144</v>
      </c>
      <c r="B175" s="25" t="s">
        <v>1157</v>
      </c>
      <c r="C175" s="25" t="s">
        <v>1158</v>
      </c>
      <c r="D175" s="25" t="s">
        <v>1159</v>
      </c>
      <c r="E175" s="26" t="s">
        <v>672</v>
      </c>
      <c r="F175" s="27" t="s">
        <v>673</v>
      </c>
      <c r="G175" s="28" t="s">
        <v>1160</v>
      </c>
      <c r="H175" s="29"/>
      <c r="I175" s="29" t="s">
        <v>44</v>
      </c>
      <c r="J175" s="30">
        <v>10</v>
      </c>
      <c r="K175" s="31">
        <f>516.8</f>
        <v>516.79999999999995</v>
      </c>
      <c r="L175" s="32" t="s">
        <v>679</v>
      </c>
      <c r="M175" s="31">
        <f>516.8</f>
        <v>516.79999999999995</v>
      </c>
      <c r="N175" s="32" t="s">
        <v>679</v>
      </c>
      <c r="O175" s="31">
        <f>502.9</f>
        <v>502.9</v>
      </c>
      <c r="P175" s="32" t="s">
        <v>679</v>
      </c>
      <c r="Q175" s="31">
        <f>503.8</f>
        <v>503.8</v>
      </c>
      <c r="R175" s="32" t="s">
        <v>777</v>
      </c>
      <c r="S175" s="33">
        <f>503.23</f>
        <v>503.23</v>
      </c>
      <c r="T175" s="30">
        <f>602420</f>
        <v>602420</v>
      </c>
      <c r="U175" s="30">
        <f>599400</f>
        <v>599400</v>
      </c>
      <c r="V175" s="30">
        <f>301536669</f>
        <v>301536669</v>
      </c>
      <c r="W175" s="30">
        <f>299999700</f>
        <v>299999700</v>
      </c>
      <c r="X175" s="34">
        <f>3</f>
        <v>3</v>
      </c>
    </row>
    <row r="176" spans="1:24">
      <c r="A176" s="25" t="s">
        <v>1144</v>
      </c>
      <c r="B176" s="25" t="s">
        <v>1161</v>
      </c>
      <c r="C176" s="25" t="s">
        <v>1162</v>
      </c>
      <c r="D176" s="25" t="s">
        <v>1163</v>
      </c>
      <c r="E176" s="26" t="s">
        <v>672</v>
      </c>
      <c r="F176" s="27" t="s">
        <v>673</v>
      </c>
      <c r="G176" s="28" t="s">
        <v>1160</v>
      </c>
      <c r="H176" s="29"/>
      <c r="I176" s="29" t="s">
        <v>44</v>
      </c>
      <c r="J176" s="30">
        <v>10</v>
      </c>
      <c r="K176" s="31">
        <f>503.5</f>
        <v>503.5</v>
      </c>
      <c r="L176" s="32" t="s">
        <v>679</v>
      </c>
      <c r="M176" s="31">
        <f>506.7</f>
        <v>506.7</v>
      </c>
      <c r="N176" s="32" t="s">
        <v>777</v>
      </c>
      <c r="O176" s="31">
        <f>501</f>
        <v>501</v>
      </c>
      <c r="P176" s="32" t="s">
        <v>676</v>
      </c>
      <c r="Q176" s="31">
        <f>506.7</f>
        <v>506.7</v>
      </c>
      <c r="R176" s="32" t="s">
        <v>777</v>
      </c>
      <c r="S176" s="33">
        <f>504.07</f>
        <v>504.07</v>
      </c>
      <c r="T176" s="30">
        <f>201160</f>
        <v>201160</v>
      </c>
      <c r="U176" s="30">
        <f>199800</f>
        <v>199800</v>
      </c>
      <c r="V176" s="30">
        <f>100683028</f>
        <v>100683028</v>
      </c>
      <c r="W176" s="30">
        <f>99999900</f>
        <v>99999900</v>
      </c>
      <c r="X176" s="34">
        <f>3</f>
        <v>3</v>
      </c>
    </row>
    <row r="177" spans="1:24">
      <c r="A177" s="25" t="s">
        <v>1144</v>
      </c>
      <c r="B177" s="25" t="s">
        <v>1164</v>
      </c>
      <c r="C177" s="25" t="s">
        <v>1165</v>
      </c>
      <c r="D177" s="25" t="s">
        <v>1166</v>
      </c>
      <c r="E177" s="26" t="s">
        <v>672</v>
      </c>
      <c r="F177" s="27" t="s">
        <v>673</v>
      </c>
      <c r="G177" s="28" t="s">
        <v>1160</v>
      </c>
      <c r="H177" s="29"/>
      <c r="I177" s="29" t="s">
        <v>44</v>
      </c>
      <c r="J177" s="30">
        <v>10</v>
      </c>
      <c r="K177" s="31">
        <f>520</f>
        <v>520</v>
      </c>
      <c r="L177" s="32" t="s">
        <v>679</v>
      </c>
      <c r="M177" s="31">
        <f>520</f>
        <v>520</v>
      </c>
      <c r="N177" s="32" t="s">
        <v>679</v>
      </c>
      <c r="O177" s="31">
        <f>501.2</f>
        <v>501.2</v>
      </c>
      <c r="P177" s="32" t="s">
        <v>679</v>
      </c>
      <c r="Q177" s="31">
        <f>504</f>
        <v>504</v>
      </c>
      <c r="R177" s="32" t="s">
        <v>777</v>
      </c>
      <c r="S177" s="33">
        <f>502.3</f>
        <v>502.3</v>
      </c>
      <c r="T177" s="30">
        <f>403400</f>
        <v>403400</v>
      </c>
      <c r="U177" s="30">
        <f>399600</f>
        <v>399600</v>
      </c>
      <c r="V177" s="30">
        <f>201914381</f>
        <v>201914381</v>
      </c>
      <c r="W177" s="30">
        <f>199999800</f>
        <v>199999800</v>
      </c>
      <c r="X177" s="34">
        <f>3</f>
        <v>3</v>
      </c>
    </row>
    <row r="178" spans="1:24">
      <c r="A178" s="25" t="s">
        <v>1144</v>
      </c>
      <c r="B178" s="25" t="s">
        <v>1054</v>
      </c>
      <c r="C178" s="25" t="s">
        <v>1055</v>
      </c>
      <c r="D178" s="25" t="s">
        <v>1056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10</v>
      </c>
      <c r="K178" s="31">
        <f>583</f>
        <v>583</v>
      </c>
      <c r="L178" s="32" t="s">
        <v>1110</v>
      </c>
      <c r="M178" s="31">
        <f>583</f>
        <v>583</v>
      </c>
      <c r="N178" s="32" t="s">
        <v>1110</v>
      </c>
      <c r="O178" s="31">
        <f>550</f>
        <v>550</v>
      </c>
      <c r="P178" s="32" t="s">
        <v>680</v>
      </c>
      <c r="Q178" s="31">
        <f>575.9</f>
        <v>575.9</v>
      </c>
      <c r="R178" s="32" t="s">
        <v>777</v>
      </c>
      <c r="S178" s="33">
        <f>568.5</f>
        <v>568.5</v>
      </c>
      <c r="T178" s="30">
        <f>702830</f>
        <v>702830</v>
      </c>
      <c r="U178" s="30">
        <f>305800</f>
        <v>305800</v>
      </c>
      <c r="V178" s="30">
        <f>397508135</f>
        <v>397508135</v>
      </c>
      <c r="W178" s="30">
        <f>172427206</f>
        <v>172427206</v>
      </c>
      <c r="X178" s="34">
        <f>21</f>
        <v>21</v>
      </c>
    </row>
    <row r="179" spans="1:24">
      <c r="A179" s="25" t="s">
        <v>1144</v>
      </c>
      <c r="B179" s="25" t="s">
        <v>1083</v>
      </c>
      <c r="C179" s="25" t="s">
        <v>1084</v>
      </c>
      <c r="D179" s="25" t="s">
        <v>1085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10</v>
      </c>
      <c r="K179" s="31">
        <f>208.3</f>
        <v>208.3</v>
      </c>
      <c r="L179" s="32" t="s">
        <v>1110</v>
      </c>
      <c r="M179" s="31">
        <f>219.5</f>
        <v>219.5</v>
      </c>
      <c r="N179" s="32" t="s">
        <v>874</v>
      </c>
      <c r="O179" s="31">
        <f>207</f>
        <v>207</v>
      </c>
      <c r="P179" s="32" t="s">
        <v>674</v>
      </c>
      <c r="Q179" s="31">
        <f>215.9</f>
        <v>215.9</v>
      </c>
      <c r="R179" s="32" t="s">
        <v>777</v>
      </c>
      <c r="S179" s="33">
        <f>210.95</f>
        <v>210.95</v>
      </c>
      <c r="T179" s="30">
        <f>379160</f>
        <v>379160</v>
      </c>
      <c r="U179" s="30" t="str">
        <f>"－"</f>
        <v>－</v>
      </c>
      <c r="V179" s="30">
        <f>80367607</f>
        <v>80367607</v>
      </c>
      <c r="W179" s="30" t="str">
        <f>"－"</f>
        <v>－</v>
      </c>
      <c r="X179" s="34">
        <f>21</f>
        <v>21</v>
      </c>
    </row>
    <row r="180" spans="1:24">
      <c r="A180" s="25" t="s">
        <v>1144</v>
      </c>
      <c r="B180" s="25" t="s">
        <v>1087</v>
      </c>
      <c r="C180" s="25" t="s">
        <v>1088</v>
      </c>
      <c r="D180" s="25" t="s">
        <v>1089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10</v>
      </c>
      <c r="K180" s="31">
        <f>224.6</f>
        <v>224.6</v>
      </c>
      <c r="L180" s="32" t="s">
        <v>1110</v>
      </c>
      <c r="M180" s="31">
        <f>229.9</f>
        <v>229.9</v>
      </c>
      <c r="N180" s="32" t="s">
        <v>676</v>
      </c>
      <c r="O180" s="31">
        <f>218</f>
        <v>218</v>
      </c>
      <c r="P180" s="32" t="s">
        <v>680</v>
      </c>
      <c r="Q180" s="31">
        <f>229.1</f>
        <v>229.1</v>
      </c>
      <c r="R180" s="32" t="s">
        <v>777</v>
      </c>
      <c r="S180" s="33">
        <f>223.22</f>
        <v>223.22</v>
      </c>
      <c r="T180" s="30">
        <f>3467730</f>
        <v>3467730</v>
      </c>
      <c r="U180" s="30">
        <f>220000</f>
        <v>220000</v>
      </c>
      <c r="V180" s="30">
        <f>772678624</f>
        <v>772678624</v>
      </c>
      <c r="W180" s="30">
        <f>48378000</f>
        <v>48378000</v>
      </c>
      <c r="X180" s="34">
        <f>21</f>
        <v>21</v>
      </c>
    </row>
    <row r="181" spans="1:24">
      <c r="A181" s="25" t="s">
        <v>1144</v>
      </c>
      <c r="B181" s="25" t="s">
        <v>1090</v>
      </c>
      <c r="C181" s="25" t="s">
        <v>1091</v>
      </c>
      <c r="D181" s="25" t="s">
        <v>1092</v>
      </c>
      <c r="E181" s="26" t="s">
        <v>43</v>
      </c>
      <c r="F181" s="27" t="s">
        <v>43</v>
      </c>
      <c r="G181" s="28" t="s">
        <v>43</v>
      </c>
      <c r="H181" s="29"/>
      <c r="I181" s="29" t="s">
        <v>44</v>
      </c>
      <c r="J181" s="30">
        <v>10</v>
      </c>
      <c r="K181" s="31">
        <f>226</f>
        <v>226</v>
      </c>
      <c r="L181" s="32" t="s">
        <v>1110</v>
      </c>
      <c r="M181" s="31">
        <f>226.6</f>
        <v>226.6</v>
      </c>
      <c r="N181" s="32" t="s">
        <v>777</v>
      </c>
      <c r="O181" s="31">
        <f>213.8</f>
        <v>213.8</v>
      </c>
      <c r="P181" s="32" t="s">
        <v>680</v>
      </c>
      <c r="Q181" s="31">
        <f>226.4</f>
        <v>226.4</v>
      </c>
      <c r="R181" s="32" t="s">
        <v>777</v>
      </c>
      <c r="S181" s="33">
        <f>221.93</f>
        <v>221.93</v>
      </c>
      <c r="T181" s="30">
        <f>13054170</f>
        <v>13054170</v>
      </c>
      <c r="U181" s="30">
        <f>230010</f>
        <v>230010</v>
      </c>
      <c r="V181" s="30">
        <f>2876076113</f>
        <v>2876076113</v>
      </c>
      <c r="W181" s="30">
        <f>49866255</f>
        <v>49866255</v>
      </c>
      <c r="X181" s="34">
        <f>21</f>
        <v>21</v>
      </c>
    </row>
    <row r="182" spans="1:24">
      <c r="A182" s="25" t="s">
        <v>1144</v>
      </c>
      <c r="B182" s="25" t="s">
        <v>1093</v>
      </c>
      <c r="C182" s="25" t="s">
        <v>1094</v>
      </c>
      <c r="D182" s="25" t="s">
        <v>1095</v>
      </c>
      <c r="E182" s="26" t="s">
        <v>43</v>
      </c>
      <c r="F182" s="27" t="s">
        <v>43</v>
      </c>
      <c r="G182" s="28" t="s">
        <v>43</v>
      </c>
      <c r="H182" s="29"/>
      <c r="I182" s="29" t="s">
        <v>44</v>
      </c>
      <c r="J182" s="30">
        <v>1</v>
      </c>
      <c r="K182" s="31">
        <f>2048</f>
        <v>2048</v>
      </c>
      <c r="L182" s="32" t="s">
        <v>1110</v>
      </c>
      <c r="M182" s="31">
        <f>2065</f>
        <v>2065</v>
      </c>
      <c r="N182" s="32" t="s">
        <v>777</v>
      </c>
      <c r="O182" s="31">
        <f>2015</f>
        <v>2015</v>
      </c>
      <c r="P182" s="32" t="s">
        <v>684</v>
      </c>
      <c r="Q182" s="31">
        <f>2064</f>
        <v>2064</v>
      </c>
      <c r="R182" s="32" t="s">
        <v>777</v>
      </c>
      <c r="S182" s="33">
        <f>2032.62</f>
        <v>2032.62</v>
      </c>
      <c r="T182" s="30">
        <f>114410</f>
        <v>114410</v>
      </c>
      <c r="U182" s="30">
        <f>50000</f>
        <v>50000</v>
      </c>
      <c r="V182" s="30">
        <f>232977928</f>
        <v>232977928</v>
      </c>
      <c r="W182" s="30">
        <f>101925000</f>
        <v>101925000</v>
      </c>
      <c r="X182" s="34">
        <f>21</f>
        <v>21</v>
      </c>
    </row>
    <row r="183" spans="1:24">
      <c r="A183" s="25" t="s">
        <v>1144</v>
      </c>
      <c r="B183" s="25" t="s">
        <v>1096</v>
      </c>
      <c r="C183" s="25" t="s">
        <v>1097</v>
      </c>
      <c r="D183" s="25" t="s">
        <v>1098</v>
      </c>
      <c r="E183" s="26" t="s">
        <v>43</v>
      </c>
      <c r="F183" s="27" t="s">
        <v>43</v>
      </c>
      <c r="G183" s="28" t="s">
        <v>43</v>
      </c>
      <c r="H183" s="29"/>
      <c r="I183" s="29" t="s">
        <v>44</v>
      </c>
      <c r="J183" s="30">
        <v>1</v>
      </c>
      <c r="K183" s="31">
        <f>1973</f>
        <v>1973</v>
      </c>
      <c r="L183" s="32" t="s">
        <v>1110</v>
      </c>
      <c r="M183" s="31">
        <f>1973</f>
        <v>1973</v>
      </c>
      <c r="N183" s="32" t="s">
        <v>1110</v>
      </c>
      <c r="O183" s="31">
        <f>1893</f>
        <v>1893</v>
      </c>
      <c r="P183" s="32" t="s">
        <v>676</v>
      </c>
      <c r="Q183" s="31">
        <f>1907</f>
        <v>1907</v>
      </c>
      <c r="R183" s="32" t="s">
        <v>777</v>
      </c>
      <c r="S183" s="33">
        <f>1923.71</f>
        <v>1923.71</v>
      </c>
      <c r="T183" s="30">
        <f>2258262</f>
        <v>2258262</v>
      </c>
      <c r="U183" s="30">
        <f>2045061</f>
        <v>2045061</v>
      </c>
      <c r="V183" s="30">
        <f>4382344371</f>
        <v>4382344371</v>
      </c>
      <c r="W183" s="30">
        <f>3966924223</f>
        <v>3966924223</v>
      </c>
      <c r="X183" s="34">
        <f>21</f>
        <v>21</v>
      </c>
    </row>
    <row r="184" spans="1:24">
      <c r="A184" s="25" t="s">
        <v>1144</v>
      </c>
      <c r="B184" s="25" t="s">
        <v>1099</v>
      </c>
      <c r="C184" s="25" t="s">
        <v>1100</v>
      </c>
      <c r="D184" s="25" t="s">
        <v>1101</v>
      </c>
      <c r="E184" s="26" t="s">
        <v>43</v>
      </c>
      <c r="F184" s="27" t="s">
        <v>43</v>
      </c>
      <c r="G184" s="28" t="s">
        <v>43</v>
      </c>
      <c r="H184" s="29"/>
      <c r="I184" s="29" t="s">
        <v>44</v>
      </c>
      <c r="J184" s="30">
        <v>1</v>
      </c>
      <c r="K184" s="31">
        <f>1078</f>
        <v>1078</v>
      </c>
      <c r="L184" s="32" t="s">
        <v>1110</v>
      </c>
      <c r="M184" s="31">
        <f>1079</f>
        <v>1079</v>
      </c>
      <c r="N184" s="32" t="s">
        <v>1110</v>
      </c>
      <c r="O184" s="31">
        <f>995</f>
        <v>995</v>
      </c>
      <c r="P184" s="32" t="s">
        <v>680</v>
      </c>
      <c r="Q184" s="31">
        <f>1055</f>
        <v>1055</v>
      </c>
      <c r="R184" s="32" t="s">
        <v>777</v>
      </c>
      <c r="S184" s="33">
        <f>1042.24</f>
        <v>1042.24</v>
      </c>
      <c r="T184" s="30">
        <f>5694851</f>
        <v>5694851</v>
      </c>
      <c r="U184" s="30">
        <f>323314</f>
        <v>323314</v>
      </c>
      <c r="V184" s="30">
        <f>5917697074</f>
        <v>5917697074</v>
      </c>
      <c r="W184" s="30">
        <f>331080746</f>
        <v>331080746</v>
      </c>
      <c r="X184" s="34">
        <f>21</f>
        <v>21</v>
      </c>
    </row>
    <row r="185" spans="1:24">
      <c r="A185" s="25" t="s">
        <v>1144</v>
      </c>
      <c r="B185" s="25" t="s">
        <v>1103</v>
      </c>
      <c r="C185" s="25" t="s">
        <v>1104</v>
      </c>
      <c r="D185" s="25" t="s">
        <v>1105</v>
      </c>
      <c r="E185" s="26" t="s">
        <v>43</v>
      </c>
      <c r="F185" s="27" t="s">
        <v>43</v>
      </c>
      <c r="G185" s="28" t="s">
        <v>43</v>
      </c>
      <c r="H185" s="29"/>
      <c r="I185" s="29" t="s">
        <v>44</v>
      </c>
      <c r="J185" s="30">
        <v>1</v>
      </c>
      <c r="K185" s="31">
        <f>1071</f>
        <v>1071</v>
      </c>
      <c r="L185" s="32" t="s">
        <v>1110</v>
      </c>
      <c r="M185" s="31">
        <f>1071</f>
        <v>1071</v>
      </c>
      <c r="N185" s="32" t="s">
        <v>1110</v>
      </c>
      <c r="O185" s="31">
        <f>955</f>
        <v>955</v>
      </c>
      <c r="P185" s="32" t="s">
        <v>680</v>
      </c>
      <c r="Q185" s="31">
        <f>1006</f>
        <v>1006</v>
      </c>
      <c r="R185" s="32" t="s">
        <v>777</v>
      </c>
      <c r="S185" s="33">
        <f>1009.9</f>
        <v>1009.9</v>
      </c>
      <c r="T185" s="30">
        <f>28256</f>
        <v>28256</v>
      </c>
      <c r="U185" s="30" t="str">
        <f t="shared" ref="U185:U190" si="3">"－"</f>
        <v>－</v>
      </c>
      <c r="V185" s="30">
        <f>28229613</f>
        <v>28229613</v>
      </c>
      <c r="W185" s="30" t="str">
        <f t="shared" ref="W185:W190" si="4">"－"</f>
        <v>－</v>
      </c>
      <c r="X185" s="34">
        <f>21</f>
        <v>21</v>
      </c>
    </row>
    <row r="186" spans="1:24">
      <c r="A186" s="25" t="s">
        <v>1144</v>
      </c>
      <c r="B186" s="25" t="s">
        <v>1106</v>
      </c>
      <c r="C186" s="25" t="s">
        <v>1107</v>
      </c>
      <c r="D186" s="25" t="s">
        <v>1108</v>
      </c>
      <c r="E186" s="26" t="s">
        <v>43</v>
      </c>
      <c r="F186" s="27" t="s">
        <v>43</v>
      </c>
      <c r="G186" s="28" t="s">
        <v>43</v>
      </c>
      <c r="H186" s="29"/>
      <c r="I186" s="29" t="s">
        <v>44</v>
      </c>
      <c r="J186" s="30">
        <v>1</v>
      </c>
      <c r="K186" s="31">
        <f>1068</f>
        <v>1068</v>
      </c>
      <c r="L186" s="32" t="s">
        <v>1110</v>
      </c>
      <c r="M186" s="31">
        <f>1068</f>
        <v>1068</v>
      </c>
      <c r="N186" s="32" t="s">
        <v>1110</v>
      </c>
      <c r="O186" s="31">
        <f>1003</f>
        <v>1003</v>
      </c>
      <c r="P186" s="32" t="s">
        <v>680</v>
      </c>
      <c r="Q186" s="31">
        <f>1047</f>
        <v>1047</v>
      </c>
      <c r="R186" s="32" t="s">
        <v>777</v>
      </c>
      <c r="S186" s="33">
        <f>1033.62</f>
        <v>1033.6199999999999</v>
      </c>
      <c r="T186" s="30">
        <f>171640</f>
        <v>171640</v>
      </c>
      <c r="U186" s="30" t="str">
        <f t="shared" si="3"/>
        <v>－</v>
      </c>
      <c r="V186" s="30">
        <f>176687880</f>
        <v>176687880</v>
      </c>
      <c r="W186" s="30" t="str">
        <f t="shared" si="4"/>
        <v>－</v>
      </c>
      <c r="X186" s="34">
        <f>21</f>
        <v>21</v>
      </c>
    </row>
    <row r="187" spans="1:24">
      <c r="A187" s="25" t="s">
        <v>1144</v>
      </c>
      <c r="B187" s="25" t="s">
        <v>462</v>
      </c>
      <c r="C187" s="25" t="s">
        <v>463</v>
      </c>
      <c r="D187" s="25" t="s">
        <v>464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4100</f>
        <v>4100</v>
      </c>
      <c r="L187" s="32" t="s">
        <v>1110</v>
      </c>
      <c r="M187" s="31">
        <f>4840</f>
        <v>4840</v>
      </c>
      <c r="N187" s="32" t="s">
        <v>777</v>
      </c>
      <c r="O187" s="31">
        <f>3835</f>
        <v>3835</v>
      </c>
      <c r="P187" s="32" t="s">
        <v>680</v>
      </c>
      <c r="Q187" s="31">
        <f>4755</f>
        <v>4755</v>
      </c>
      <c r="R187" s="32" t="s">
        <v>777</v>
      </c>
      <c r="S187" s="33">
        <f>4208.33</f>
        <v>4208.33</v>
      </c>
      <c r="T187" s="30">
        <f>142849</f>
        <v>142849</v>
      </c>
      <c r="U187" s="30" t="str">
        <f t="shared" si="3"/>
        <v>－</v>
      </c>
      <c r="V187" s="30">
        <f>606769225</f>
        <v>606769225</v>
      </c>
      <c r="W187" s="30" t="str">
        <f t="shared" si="4"/>
        <v>－</v>
      </c>
      <c r="X187" s="34">
        <f>21</f>
        <v>21</v>
      </c>
    </row>
    <row r="188" spans="1:24">
      <c r="A188" s="25" t="s">
        <v>1144</v>
      </c>
      <c r="B188" s="25" t="s">
        <v>466</v>
      </c>
      <c r="C188" s="25" t="s">
        <v>467</v>
      </c>
      <c r="D188" s="25" t="s">
        <v>468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9977</f>
        <v>9977</v>
      </c>
      <c r="L188" s="32" t="s">
        <v>1110</v>
      </c>
      <c r="M188" s="31">
        <f>10450</f>
        <v>10450</v>
      </c>
      <c r="N188" s="32" t="s">
        <v>680</v>
      </c>
      <c r="O188" s="31">
        <f>9517</f>
        <v>9517</v>
      </c>
      <c r="P188" s="32" t="s">
        <v>777</v>
      </c>
      <c r="Q188" s="31">
        <f>9598</f>
        <v>9598</v>
      </c>
      <c r="R188" s="32" t="s">
        <v>777</v>
      </c>
      <c r="S188" s="33">
        <f>9950.43</f>
        <v>9950.43</v>
      </c>
      <c r="T188" s="30">
        <f>8503</f>
        <v>8503</v>
      </c>
      <c r="U188" s="30" t="str">
        <f t="shared" si="3"/>
        <v>－</v>
      </c>
      <c r="V188" s="30">
        <f>84899409</f>
        <v>84899409</v>
      </c>
      <c r="W188" s="30" t="str">
        <f t="shared" si="4"/>
        <v>－</v>
      </c>
      <c r="X188" s="34">
        <f>21</f>
        <v>21</v>
      </c>
    </row>
    <row r="189" spans="1:24">
      <c r="A189" s="25" t="s">
        <v>1144</v>
      </c>
      <c r="B189" s="25" t="s">
        <v>469</v>
      </c>
      <c r="C189" s="25" t="s">
        <v>470</v>
      </c>
      <c r="D189" s="25" t="s">
        <v>471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14660</f>
        <v>14660</v>
      </c>
      <c r="L189" s="32" t="s">
        <v>1110</v>
      </c>
      <c r="M189" s="31">
        <f>15095</f>
        <v>15095</v>
      </c>
      <c r="N189" s="32" t="s">
        <v>1110</v>
      </c>
      <c r="O189" s="31">
        <f>12545</f>
        <v>12545</v>
      </c>
      <c r="P189" s="32" t="s">
        <v>680</v>
      </c>
      <c r="Q189" s="31">
        <f>14065</f>
        <v>14065</v>
      </c>
      <c r="R189" s="32" t="s">
        <v>777</v>
      </c>
      <c r="S189" s="33">
        <f>13917.25</f>
        <v>13917.25</v>
      </c>
      <c r="T189" s="30">
        <f>1919</f>
        <v>1919</v>
      </c>
      <c r="U189" s="30" t="str">
        <f t="shared" si="3"/>
        <v>－</v>
      </c>
      <c r="V189" s="30">
        <f>26465955</f>
        <v>26465955</v>
      </c>
      <c r="W189" s="30" t="str">
        <f t="shared" si="4"/>
        <v>－</v>
      </c>
      <c r="X189" s="34">
        <f>20</f>
        <v>20</v>
      </c>
    </row>
    <row r="190" spans="1:24">
      <c r="A190" s="25" t="s">
        <v>1144</v>
      </c>
      <c r="B190" s="25" t="s">
        <v>472</v>
      </c>
      <c r="C190" s="25" t="s">
        <v>473</v>
      </c>
      <c r="D190" s="25" t="s">
        <v>474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7481</f>
        <v>7481</v>
      </c>
      <c r="L190" s="32" t="s">
        <v>1110</v>
      </c>
      <c r="M190" s="31">
        <f>7900</f>
        <v>7900</v>
      </c>
      <c r="N190" s="32" t="s">
        <v>680</v>
      </c>
      <c r="O190" s="31">
        <f>7332</f>
        <v>7332</v>
      </c>
      <c r="P190" s="32" t="s">
        <v>1110</v>
      </c>
      <c r="Q190" s="31">
        <f>7667</f>
        <v>7667</v>
      </c>
      <c r="R190" s="32" t="s">
        <v>777</v>
      </c>
      <c r="S190" s="33">
        <f>7576.1</f>
        <v>7576.1</v>
      </c>
      <c r="T190" s="30">
        <f>5590</f>
        <v>5590</v>
      </c>
      <c r="U190" s="30" t="str">
        <f t="shared" si="3"/>
        <v>－</v>
      </c>
      <c r="V190" s="30">
        <f>42481558</f>
        <v>42481558</v>
      </c>
      <c r="W190" s="30" t="str">
        <f t="shared" si="4"/>
        <v>－</v>
      </c>
      <c r="X190" s="34">
        <f>21</f>
        <v>21</v>
      </c>
    </row>
    <row r="191" spans="1:24">
      <c r="A191" s="25" t="s">
        <v>1144</v>
      </c>
      <c r="B191" s="25" t="s">
        <v>475</v>
      </c>
      <c r="C191" s="25" t="s">
        <v>476</v>
      </c>
      <c r="D191" s="25" t="s">
        <v>477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49980</f>
        <v>49980</v>
      </c>
      <c r="L191" s="32" t="s">
        <v>1110</v>
      </c>
      <c r="M191" s="31">
        <f>59000</f>
        <v>59000</v>
      </c>
      <c r="N191" s="32" t="s">
        <v>875</v>
      </c>
      <c r="O191" s="31">
        <f>49810</f>
        <v>49810</v>
      </c>
      <c r="P191" s="32" t="s">
        <v>1110</v>
      </c>
      <c r="Q191" s="31">
        <f>56290</f>
        <v>56290</v>
      </c>
      <c r="R191" s="32" t="s">
        <v>777</v>
      </c>
      <c r="S191" s="33">
        <f>54943.33</f>
        <v>54943.33</v>
      </c>
      <c r="T191" s="30">
        <f>227033</f>
        <v>227033</v>
      </c>
      <c r="U191" s="30">
        <f>121</f>
        <v>121</v>
      </c>
      <c r="V191" s="30">
        <f>12530199850</f>
        <v>12530199850</v>
      </c>
      <c r="W191" s="30">
        <f>6687910</f>
        <v>6687910</v>
      </c>
      <c r="X191" s="34">
        <f>21</f>
        <v>21</v>
      </c>
    </row>
    <row r="192" spans="1:24">
      <c r="A192" s="25" t="s">
        <v>1144</v>
      </c>
      <c r="B192" s="25" t="s">
        <v>478</v>
      </c>
      <c r="C192" s="25" t="s">
        <v>479</v>
      </c>
      <c r="D192" s="25" t="s">
        <v>480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3070</f>
        <v>3070</v>
      </c>
      <c r="L192" s="32" t="s">
        <v>1110</v>
      </c>
      <c r="M192" s="31">
        <f>3070</f>
        <v>3070</v>
      </c>
      <c r="N192" s="32" t="s">
        <v>1110</v>
      </c>
      <c r="O192" s="31">
        <f>2788</f>
        <v>2788</v>
      </c>
      <c r="P192" s="32" t="s">
        <v>680</v>
      </c>
      <c r="Q192" s="31">
        <f>2805</f>
        <v>2805</v>
      </c>
      <c r="R192" s="32" t="s">
        <v>777</v>
      </c>
      <c r="S192" s="33">
        <f>2899.67</f>
        <v>2899.67</v>
      </c>
      <c r="T192" s="30">
        <f>44847</f>
        <v>44847</v>
      </c>
      <c r="U192" s="30" t="str">
        <f>"－"</f>
        <v>－</v>
      </c>
      <c r="V192" s="30">
        <f>129054563</f>
        <v>129054563</v>
      </c>
      <c r="W192" s="30" t="str">
        <f>"－"</f>
        <v>－</v>
      </c>
      <c r="X192" s="34">
        <f>21</f>
        <v>21</v>
      </c>
    </row>
    <row r="193" spans="1:24">
      <c r="A193" s="25" t="s">
        <v>1144</v>
      </c>
      <c r="B193" s="25" t="s">
        <v>481</v>
      </c>
      <c r="C193" s="25" t="s">
        <v>482</v>
      </c>
      <c r="D193" s="25" t="s">
        <v>483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2229</f>
        <v>2229</v>
      </c>
      <c r="L193" s="32" t="s">
        <v>1110</v>
      </c>
      <c r="M193" s="31">
        <f>2508</f>
        <v>2508</v>
      </c>
      <c r="N193" s="32" t="s">
        <v>760</v>
      </c>
      <c r="O193" s="31">
        <f>2208</f>
        <v>2208</v>
      </c>
      <c r="P193" s="32" t="s">
        <v>1110</v>
      </c>
      <c r="Q193" s="31">
        <f>2430</f>
        <v>2430</v>
      </c>
      <c r="R193" s="32" t="s">
        <v>777</v>
      </c>
      <c r="S193" s="33">
        <f>2385.38</f>
        <v>2385.38</v>
      </c>
      <c r="T193" s="30">
        <f>16932888</f>
        <v>16932888</v>
      </c>
      <c r="U193" s="30">
        <f>400210</f>
        <v>400210</v>
      </c>
      <c r="V193" s="30">
        <f>40634410320</f>
        <v>40634410320</v>
      </c>
      <c r="W193" s="30">
        <f>1040515720</f>
        <v>1040515720</v>
      </c>
      <c r="X193" s="34">
        <f>21</f>
        <v>21</v>
      </c>
    </row>
    <row r="194" spans="1:24">
      <c r="A194" s="25" t="s">
        <v>1144</v>
      </c>
      <c r="B194" s="25" t="s">
        <v>484</v>
      </c>
      <c r="C194" s="25" t="s">
        <v>485</v>
      </c>
      <c r="D194" s="25" t="s">
        <v>486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965</f>
        <v>965</v>
      </c>
      <c r="L194" s="32" t="s">
        <v>1110</v>
      </c>
      <c r="M194" s="31">
        <f>966</f>
        <v>966</v>
      </c>
      <c r="N194" s="32" t="s">
        <v>1110</v>
      </c>
      <c r="O194" s="31">
        <f>899</f>
        <v>899</v>
      </c>
      <c r="P194" s="32" t="s">
        <v>682</v>
      </c>
      <c r="Q194" s="31">
        <f>909</f>
        <v>909</v>
      </c>
      <c r="R194" s="32" t="s">
        <v>777</v>
      </c>
      <c r="S194" s="33">
        <f>921.71</f>
        <v>921.71</v>
      </c>
      <c r="T194" s="30">
        <f>1349926</f>
        <v>1349926</v>
      </c>
      <c r="U194" s="30">
        <f>17</f>
        <v>17</v>
      </c>
      <c r="V194" s="30">
        <f>1244894020</f>
        <v>1244894020</v>
      </c>
      <c r="W194" s="30">
        <f>14746</f>
        <v>14746</v>
      </c>
      <c r="X194" s="34">
        <f>21</f>
        <v>21</v>
      </c>
    </row>
    <row r="195" spans="1:24">
      <c r="A195" s="25" t="s">
        <v>1144</v>
      </c>
      <c r="B195" s="25" t="s">
        <v>487</v>
      </c>
      <c r="C195" s="25" t="s">
        <v>488</v>
      </c>
      <c r="D195" s="25" t="s">
        <v>489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30140</f>
        <v>30140</v>
      </c>
      <c r="L195" s="32" t="s">
        <v>1110</v>
      </c>
      <c r="M195" s="31">
        <f>30180</f>
        <v>30180</v>
      </c>
      <c r="N195" s="32" t="s">
        <v>1110</v>
      </c>
      <c r="O195" s="31">
        <f>26300</f>
        <v>26300</v>
      </c>
      <c r="P195" s="32" t="s">
        <v>680</v>
      </c>
      <c r="Q195" s="31">
        <f>27475</f>
        <v>27475</v>
      </c>
      <c r="R195" s="32" t="s">
        <v>777</v>
      </c>
      <c r="S195" s="33">
        <f>28120.71</f>
        <v>28120.71</v>
      </c>
      <c r="T195" s="30">
        <f>34243</f>
        <v>34243</v>
      </c>
      <c r="U195" s="30">
        <f>2000</f>
        <v>2000</v>
      </c>
      <c r="V195" s="30">
        <f>951660650</f>
        <v>951660650</v>
      </c>
      <c r="W195" s="30">
        <f>53948000</f>
        <v>53948000</v>
      </c>
      <c r="X195" s="34">
        <f>21</f>
        <v>21</v>
      </c>
    </row>
    <row r="196" spans="1:24">
      <c r="A196" s="25" t="s">
        <v>1144</v>
      </c>
      <c r="B196" s="25" t="s">
        <v>490</v>
      </c>
      <c r="C196" s="25" t="s">
        <v>491</v>
      </c>
      <c r="D196" s="25" t="s">
        <v>492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2497</f>
        <v>2497</v>
      </c>
      <c r="L196" s="32" t="s">
        <v>1110</v>
      </c>
      <c r="M196" s="31">
        <f>2682</f>
        <v>2682</v>
      </c>
      <c r="N196" s="32" t="s">
        <v>680</v>
      </c>
      <c r="O196" s="31">
        <f>2492</f>
        <v>2492</v>
      </c>
      <c r="P196" s="32" t="s">
        <v>1110</v>
      </c>
      <c r="Q196" s="31">
        <f>2605</f>
        <v>2605</v>
      </c>
      <c r="R196" s="32" t="s">
        <v>777</v>
      </c>
      <c r="S196" s="33">
        <f>2589.62</f>
        <v>2589.62</v>
      </c>
      <c r="T196" s="30">
        <f>274149</f>
        <v>274149</v>
      </c>
      <c r="U196" s="30">
        <f>58</f>
        <v>58</v>
      </c>
      <c r="V196" s="30">
        <f>714915005</f>
        <v>714915005</v>
      </c>
      <c r="W196" s="30">
        <f>152757</f>
        <v>152757</v>
      </c>
      <c r="X196" s="34">
        <f>21</f>
        <v>21</v>
      </c>
    </row>
    <row r="197" spans="1:24">
      <c r="A197" s="25" t="s">
        <v>1144</v>
      </c>
      <c r="B197" s="25" t="s">
        <v>493</v>
      </c>
      <c r="C197" s="25" t="s">
        <v>1057</v>
      </c>
      <c r="D197" s="25" t="s">
        <v>1058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7940</f>
        <v>7940</v>
      </c>
      <c r="L197" s="32" t="s">
        <v>1110</v>
      </c>
      <c r="M197" s="31">
        <f>8000</f>
        <v>8000</v>
      </c>
      <c r="N197" s="32" t="s">
        <v>1110</v>
      </c>
      <c r="O197" s="31">
        <f>6750</f>
        <v>6750</v>
      </c>
      <c r="P197" s="32" t="s">
        <v>680</v>
      </c>
      <c r="Q197" s="31">
        <f>6854</f>
        <v>6854</v>
      </c>
      <c r="R197" s="32" t="s">
        <v>777</v>
      </c>
      <c r="S197" s="33">
        <f>7214.1</f>
        <v>7214.1</v>
      </c>
      <c r="T197" s="30">
        <f>88645</f>
        <v>88645</v>
      </c>
      <c r="U197" s="30">
        <f>5</f>
        <v>5</v>
      </c>
      <c r="V197" s="30">
        <f>640663695</f>
        <v>640663695</v>
      </c>
      <c r="W197" s="30">
        <f>37723</f>
        <v>37723</v>
      </c>
      <c r="X197" s="34">
        <f>21</f>
        <v>21</v>
      </c>
    </row>
    <row r="198" spans="1:24">
      <c r="A198" s="25" t="s">
        <v>1144</v>
      </c>
      <c r="B198" s="25" t="s">
        <v>494</v>
      </c>
      <c r="C198" s="25" t="s">
        <v>495</v>
      </c>
      <c r="D198" s="25" t="s">
        <v>496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18670</f>
        <v>18670</v>
      </c>
      <c r="L198" s="32" t="s">
        <v>1110</v>
      </c>
      <c r="M198" s="31">
        <f>18720</f>
        <v>18720</v>
      </c>
      <c r="N198" s="32" t="s">
        <v>777</v>
      </c>
      <c r="O198" s="31">
        <f>18005</f>
        <v>18005</v>
      </c>
      <c r="P198" s="32" t="s">
        <v>680</v>
      </c>
      <c r="Q198" s="31">
        <f>18530</f>
        <v>18530</v>
      </c>
      <c r="R198" s="32" t="s">
        <v>777</v>
      </c>
      <c r="S198" s="33">
        <f>18349.71</f>
        <v>18349.71</v>
      </c>
      <c r="T198" s="30">
        <f>218</f>
        <v>218</v>
      </c>
      <c r="U198" s="30" t="str">
        <f>"－"</f>
        <v>－</v>
      </c>
      <c r="V198" s="30">
        <f>4025155</f>
        <v>4025155</v>
      </c>
      <c r="W198" s="30" t="str">
        <f>"－"</f>
        <v>－</v>
      </c>
      <c r="X198" s="34">
        <f>17</f>
        <v>17</v>
      </c>
    </row>
    <row r="199" spans="1:24">
      <c r="A199" s="25" t="s">
        <v>1144</v>
      </c>
      <c r="B199" s="25" t="s">
        <v>497</v>
      </c>
      <c r="C199" s="25" t="s">
        <v>498</v>
      </c>
      <c r="D199" s="25" t="s">
        <v>499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29270</f>
        <v>29270</v>
      </c>
      <c r="L199" s="32" t="s">
        <v>1110</v>
      </c>
      <c r="M199" s="31">
        <f>29380</f>
        <v>29380</v>
      </c>
      <c r="N199" s="32" t="s">
        <v>1110</v>
      </c>
      <c r="O199" s="31">
        <f>27800</f>
        <v>27800</v>
      </c>
      <c r="P199" s="32" t="s">
        <v>680</v>
      </c>
      <c r="Q199" s="31">
        <f>29000</f>
        <v>29000</v>
      </c>
      <c r="R199" s="32" t="s">
        <v>777</v>
      </c>
      <c r="S199" s="33">
        <f>28663.57</f>
        <v>28663.57</v>
      </c>
      <c r="T199" s="30">
        <f>21367</f>
        <v>21367</v>
      </c>
      <c r="U199" s="30" t="str">
        <f>"－"</f>
        <v>－</v>
      </c>
      <c r="V199" s="30">
        <f>615291910</f>
        <v>615291910</v>
      </c>
      <c r="W199" s="30" t="str">
        <f>"－"</f>
        <v>－</v>
      </c>
      <c r="X199" s="34">
        <f>21</f>
        <v>21</v>
      </c>
    </row>
    <row r="200" spans="1:24">
      <c r="A200" s="25" t="s">
        <v>1144</v>
      </c>
      <c r="B200" s="25" t="s">
        <v>500</v>
      </c>
      <c r="C200" s="25" t="s">
        <v>501</v>
      </c>
      <c r="D200" s="25" t="s">
        <v>502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16385</f>
        <v>16385</v>
      </c>
      <c r="L200" s="32" t="s">
        <v>1110</v>
      </c>
      <c r="M200" s="31">
        <f>16470</f>
        <v>16470</v>
      </c>
      <c r="N200" s="32" t="s">
        <v>677</v>
      </c>
      <c r="O200" s="31">
        <f>15515</f>
        <v>15515</v>
      </c>
      <c r="P200" s="32" t="s">
        <v>874</v>
      </c>
      <c r="Q200" s="31">
        <f>16000</f>
        <v>16000</v>
      </c>
      <c r="R200" s="32" t="s">
        <v>676</v>
      </c>
      <c r="S200" s="33">
        <f>16090.83</f>
        <v>16090.83</v>
      </c>
      <c r="T200" s="30">
        <f>438</f>
        <v>438</v>
      </c>
      <c r="U200" s="30" t="str">
        <f>"－"</f>
        <v>－</v>
      </c>
      <c r="V200" s="30">
        <f>7023105</f>
        <v>7023105</v>
      </c>
      <c r="W200" s="30" t="str">
        <f>"－"</f>
        <v>－</v>
      </c>
      <c r="X200" s="34">
        <f>18</f>
        <v>18</v>
      </c>
    </row>
    <row r="201" spans="1:24">
      <c r="A201" s="25" t="s">
        <v>1144</v>
      </c>
      <c r="B201" s="25" t="s">
        <v>503</v>
      </c>
      <c r="C201" s="25" t="s">
        <v>504</v>
      </c>
      <c r="D201" s="25" t="s">
        <v>505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29080</f>
        <v>29080</v>
      </c>
      <c r="L201" s="32" t="s">
        <v>1110</v>
      </c>
      <c r="M201" s="31">
        <f>31030</f>
        <v>31030</v>
      </c>
      <c r="N201" s="32" t="s">
        <v>777</v>
      </c>
      <c r="O201" s="31">
        <f>27900</f>
        <v>27900</v>
      </c>
      <c r="P201" s="32" t="s">
        <v>680</v>
      </c>
      <c r="Q201" s="31">
        <f>31010</f>
        <v>31010</v>
      </c>
      <c r="R201" s="32" t="s">
        <v>777</v>
      </c>
      <c r="S201" s="33">
        <f>29754.05</f>
        <v>29754.05</v>
      </c>
      <c r="T201" s="30">
        <f>77367</f>
        <v>77367</v>
      </c>
      <c r="U201" s="30">
        <f>90</f>
        <v>90</v>
      </c>
      <c r="V201" s="30">
        <f>2292642700</f>
        <v>2292642700</v>
      </c>
      <c r="W201" s="30">
        <f>2673185</f>
        <v>2673185</v>
      </c>
      <c r="X201" s="34">
        <f>21</f>
        <v>21</v>
      </c>
    </row>
    <row r="202" spans="1:24">
      <c r="A202" s="25" t="s">
        <v>1144</v>
      </c>
      <c r="B202" s="25" t="s">
        <v>506</v>
      </c>
      <c r="C202" s="25" t="s">
        <v>507</v>
      </c>
      <c r="D202" s="25" t="s">
        <v>508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3910</f>
        <v>3910</v>
      </c>
      <c r="L202" s="32" t="s">
        <v>1110</v>
      </c>
      <c r="M202" s="31">
        <f>4095</f>
        <v>4095</v>
      </c>
      <c r="N202" s="32" t="s">
        <v>680</v>
      </c>
      <c r="O202" s="31">
        <f>3810</f>
        <v>3810</v>
      </c>
      <c r="P202" s="32" t="s">
        <v>1113</v>
      </c>
      <c r="Q202" s="31">
        <f>4000</f>
        <v>4000</v>
      </c>
      <c r="R202" s="32" t="s">
        <v>777</v>
      </c>
      <c r="S202" s="33">
        <f>3931.67</f>
        <v>3931.67</v>
      </c>
      <c r="T202" s="30">
        <f>7524</f>
        <v>7524</v>
      </c>
      <c r="U202" s="30" t="str">
        <f t="shared" ref="U202:U213" si="5">"－"</f>
        <v>－</v>
      </c>
      <c r="V202" s="30">
        <f>29840185</f>
        <v>29840185</v>
      </c>
      <c r="W202" s="30" t="str">
        <f t="shared" ref="W202:W213" si="6">"－"</f>
        <v>－</v>
      </c>
      <c r="X202" s="34">
        <f>21</f>
        <v>21</v>
      </c>
    </row>
    <row r="203" spans="1:24">
      <c r="A203" s="25" t="s">
        <v>1144</v>
      </c>
      <c r="B203" s="25" t="s">
        <v>509</v>
      </c>
      <c r="C203" s="25" t="s">
        <v>510</v>
      </c>
      <c r="D203" s="25" t="s">
        <v>511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29895</f>
        <v>29895</v>
      </c>
      <c r="L203" s="32" t="s">
        <v>1110</v>
      </c>
      <c r="M203" s="31">
        <f>30890</f>
        <v>30890</v>
      </c>
      <c r="N203" s="32" t="s">
        <v>777</v>
      </c>
      <c r="O203" s="31">
        <f>28505</f>
        <v>28505</v>
      </c>
      <c r="P203" s="32" t="s">
        <v>1145</v>
      </c>
      <c r="Q203" s="31">
        <f>30610</f>
        <v>30610</v>
      </c>
      <c r="R203" s="32" t="s">
        <v>777</v>
      </c>
      <c r="S203" s="33">
        <f>29676.32</f>
        <v>29676.32</v>
      </c>
      <c r="T203" s="30">
        <f>1554</f>
        <v>1554</v>
      </c>
      <c r="U203" s="30" t="str">
        <f t="shared" si="5"/>
        <v>－</v>
      </c>
      <c r="V203" s="30">
        <f>46475380</f>
        <v>46475380</v>
      </c>
      <c r="W203" s="30" t="str">
        <f t="shared" si="6"/>
        <v>－</v>
      </c>
      <c r="X203" s="34">
        <f>19</f>
        <v>19</v>
      </c>
    </row>
    <row r="204" spans="1:24">
      <c r="A204" s="25" t="s">
        <v>1144</v>
      </c>
      <c r="B204" s="25" t="s">
        <v>512</v>
      </c>
      <c r="C204" s="25" t="s">
        <v>513</v>
      </c>
      <c r="D204" s="25" t="s">
        <v>514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18500</f>
        <v>18500</v>
      </c>
      <c r="L204" s="32" t="s">
        <v>1110</v>
      </c>
      <c r="M204" s="31">
        <f>18735</f>
        <v>18735</v>
      </c>
      <c r="N204" s="32" t="s">
        <v>683</v>
      </c>
      <c r="O204" s="31">
        <f>18170</f>
        <v>18170</v>
      </c>
      <c r="P204" s="32" t="s">
        <v>1116</v>
      </c>
      <c r="Q204" s="31">
        <f>18600</f>
        <v>18600</v>
      </c>
      <c r="R204" s="32" t="s">
        <v>679</v>
      </c>
      <c r="S204" s="33">
        <f>18483.13</f>
        <v>18483.13</v>
      </c>
      <c r="T204" s="30">
        <f>1086</f>
        <v>1086</v>
      </c>
      <c r="U204" s="30" t="str">
        <f t="shared" si="5"/>
        <v>－</v>
      </c>
      <c r="V204" s="30">
        <f>20016335</f>
        <v>20016335</v>
      </c>
      <c r="W204" s="30" t="str">
        <f t="shared" si="6"/>
        <v>－</v>
      </c>
      <c r="X204" s="34">
        <f>8</f>
        <v>8</v>
      </c>
    </row>
    <row r="205" spans="1:24">
      <c r="A205" s="25" t="s">
        <v>1144</v>
      </c>
      <c r="B205" s="25" t="s">
        <v>515</v>
      </c>
      <c r="C205" s="25" t="s">
        <v>516</v>
      </c>
      <c r="D205" s="25" t="s">
        <v>517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33570</f>
        <v>33570</v>
      </c>
      <c r="L205" s="32" t="s">
        <v>1110</v>
      </c>
      <c r="M205" s="31">
        <f>34990</f>
        <v>34990</v>
      </c>
      <c r="N205" s="32" t="s">
        <v>777</v>
      </c>
      <c r="O205" s="31">
        <f>32320</f>
        <v>32320</v>
      </c>
      <c r="P205" s="32" t="s">
        <v>674</v>
      </c>
      <c r="Q205" s="31">
        <f>34990</f>
        <v>34990</v>
      </c>
      <c r="R205" s="32" t="s">
        <v>777</v>
      </c>
      <c r="S205" s="33">
        <f>33468.89</f>
        <v>33468.89</v>
      </c>
      <c r="T205" s="30">
        <f>442</f>
        <v>442</v>
      </c>
      <c r="U205" s="30" t="str">
        <f t="shared" si="5"/>
        <v>－</v>
      </c>
      <c r="V205" s="30">
        <f>14732120</f>
        <v>14732120</v>
      </c>
      <c r="W205" s="30" t="str">
        <f t="shared" si="6"/>
        <v>－</v>
      </c>
      <c r="X205" s="34">
        <f>18</f>
        <v>18</v>
      </c>
    </row>
    <row r="206" spans="1:24">
      <c r="A206" s="25" t="s">
        <v>1144</v>
      </c>
      <c r="B206" s="25" t="s">
        <v>518</v>
      </c>
      <c r="C206" s="25" t="s">
        <v>519</v>
      </c>
      <c r="D206" s="25" t="s">
        <v>520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19175</f>
        <v>19175</v>
      </c>
      <c r="L206" s="32" t="s">
        <v>1116</v>
      </c>
      <c r="M206" s="31">
        <f>20195</f>
        <v>20195</v>
      </c>
      <c r="N206" s="32" t="s">
        <v>679</v>
      </c>
      <c r="O206" s="31">
        <f>19090</f>
        <v>19090</v>
      </c>
      <c r="P206" s="32" t="s">
        <v>1113</v>
      </c>
      <c r="Q206" s="31">
        <f>20195</f>
        <v>20195</v>
      </c>
      <c r="R206" s="32" t="s">
        <v>679</v>
      </c>
      <c r="S206" s="33">
        <f>19557.5</f>
        <v>19557.5</v>
      </c>
      <c r="T206" s="30">
        <f>5562</f>
        <v>5562</v>
      </c>
      <c r="U206" s="30" t="str">
        <f t="shared" si="5"/>
        <v>－</v>
      </c>
      <c r="V206" s="30">
        <f>106692905</f>
        <v>106692905</v>
      </c>
      <c r="W206" s="30" t="str">
        <f t="shared" si="6"/>
        <v>－</v>
      </c>
      <c r="X206" s="34">
        <f>4</f>
        <v>4</v>
      </c>
    </row>
    <row r="207" spans="1:24">
      <c r="A207" s="25" t="s">
        <v>1144</v>
      </c>
      <c r="B207" s="25" t="s">
        <v>521</v>
      </c>
      <c r="C207" s="25" t="s">
        <v>522</v>
      </c>
      <c r="D207" s="25" t="s">
        <v>523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20075</f>
        <v>20075</v>
      </c>
      <c r="L207" s="32" t="s">
        <v>1110</v>
      </c>
      <c r="M207" s="31">
        <f>20085</f>
        <v>20085</v>
      </c>
      <c r="N207" s="32" t="s">
        <v>677</v>
      </c>
      <c r="O207" s="31">
        <f>18780</f>
        <v>18780</v>
      </c>
      <c r="P207" s="32" t="s">
        <v>680</v>
      </c>
      <c r="Q207" s="31">
        <f>19675</f>
        <v>19675</v>
      </c>
      <c r="R207" s="32" t="s">
        <v>777</v>
      </c>
      <c r="S207" s="33">
        <f>19542.38</f>
        <v>19542.38</v>
      </c>
      <c r="T207" s="30">
        <f>1562</f>
        <v>1562</v>
      </c>
      <c r="U207" s="30" t="str">
        <f t="shared" si="5"/>
        <v>－</v>
      </c>
      <c r="V207" s="30">
        <f>30399000</f>
        <v>30399000</v>
      </c>
      <c r="W207" s="30" t="str">
        <f t="shared" si="6"/>
        <v>－</v>
      </c>
      <c r="X207" s="34">
        <f>21</f>
        <v>21</v>
      </c>
    </row>
    <row r="208" spans="1:24">
      <c r="A208" s="25" t="s">
        <v>1144</v>
      </c>
      <c r="B208" s="25" t="s">
        <v>524</v>
      </c>
      <c r="C208" s="25" t="s">
        <v>525</v>
      </c>
      <c r="D208" s="25" t="s">
        <v>526</v>
      </c>
      <c r="E208" s="26" t="s">
        <v>43</v>
      </c>
      <c r="F208" s="27" t="s">
        <v>43</v>
      </c>
      <c r="G208" s="28" t="s">
        <v>43</v>
      </c>
      <c r="H208" s="29"/>
      <c r="I208" s="29" t="s">
        <v>465</v>
      </c>
      <c r="J208" s="30">
        <v>1</v>
      </c>
      <c r="K208" s="31">
        <f>24300</f>
        <v>24300</v>
      </c>
      <c r="L208" s="32" t="s">
        <v>1110</v>
      </c>
      <c r="M208" s="31">
        <f>24300</f>
        <v>24300</v>
      </c>
      <c r="N208" s="32" t="s">
        <v>1110</v>
      </c>
      <c r="O208" s="31">
        <f>23340</f>
        <v>23340</v>
      </c>
      <c r="P208" s="32" t="s">
        <v>760</v>
      </c>
      <c r="Q208" s="31">
        <f>23340</f>
        <v>23340</v>
      </c>
      <c r="R208" s="32" t="s">
        <v>760</v>
      </c>
      <c r="S208" s="33">
        <f>23621.25</f>
        <v>23621.25</v>
      </c>
      <c r="T208" s="30">
        <f>65</f>
        <v>65</v>
      </c>
      <c r="U208" s="30" t="str">
        <f t="shared" si="5"/>
        <v>－</v>
      </c>
      <c r="V208" s="30">
        <f>1535205</f>
        <v>1535205</v>
      </c>
      <c r="W208" s="30" t="str">
        <f t="shared" si="6"/>
        <v>－</v>
      </c>
      <c r="X208" s="34">
        <f>4</f>
        <v>4</v>
      </c>
    </row>
    <row r="209" spans="1:24">
      <c r="A209" s="25" t="s">
        <v>1144</v>
      </c>
      <c r="B209" s="25" t="s">
        <v>527</v>
      </c>
      <c r="C209" s="25" t="s">
        <v>528</v>
      </c>
      <c r="D209" s="25" t="s">
        <v>529</v>
      </c>
      <c r="E209" s="26" t="s">
        <v>43</v>
      </c>
      <c r="F209" s="27" t="s">
        <v>43</v>
      </c>
      <c r="G209" s="28" t="s">
        <v>43</v>
      </c>
      <c r="H209" s="29"/>
      <c r="I209" s="29" t="s">
        <v>465</v>
      </c>
      <c r="J209" s="30">
        <v>1</v>
      </c>
      <c r="K209" s="31">
        <f>17530</f>
        <v>17530</v>
      </c>
      <c r="L209" s="32" t="s">
        <v>875</v>
      </c>
      <c r="M209" s="31">
        <f>17530</f>
        <v>17530</v>
      </c>
      <c r="N209" s="32" t="s">
        <v>875</v>
      </c>
      <c r="O209" s="31">
        <f>17530</f>
        <v>17530</v>
      </c>
      <c r="P209" s="32" t="s">
        <v>875</v>
      </c>
      <c r="Q209" s="31">
        <f>17530</f>
        <v>17530</v>
      </c>
      <c r="R209" s="32" t="s">
        <v>875</v>
      </c>
      <c r="S209" s="33">
        <f>17530</f>
        <v>17530</v>
      </c>
      <c r="T209" s="30">
        <f>1</f>
        <v>1</v>
      </c>
      <c r="U209" s="30" t="str">
        <f t="shared" si="5"/>
        <v>－</v>
      </c>
      <c r="V209" s="30">
        <f>17530</f>
        <v>17530</v>
      </c>
      <c r="W209" s="30" t="str">
        <f t="shared" si="6"/>
        <v>－</v>
      </c>
      <c r="X209" s="34">
        <f>1</f>
        <v>1</v>
      </c>
    </row>
    <row r="210" spans="1:24">
      <c r="A210" s="25" t="s">
        <v>1144</v>
      </c>
      <c r="B210" s="25" t="s">
        <v>530</v>
      </c>
      <c r="C210" s="25" t="s">
        <v>531</v>
      </c>
      <c r="D210" s="25" t="s">
        <v>532</v>
      </c>
      <c r="E210" s="26" t="s">
        <v>43</v>
      </c>
      <c r="F210" s="27" t="s">
        <v>43</v>
      </c>
      <c r="G210" s="28" t="s">
        <v>43</v>
      </c>
      <c r="H210" s="29"/>
      <c r="I210" s="29" t="s">
        <v>465</v>
      </c>
      <c r="J210" s="30">
        <v>1</v>
      </c>
      <c r="K210" s="31">
        <f>11595</f>
        <v>11595</v>
      </c>
      <c r="L210" s="32" t="s">
        <v>1110</v>
      </c>
      <c r="M210" s="31">
        <f>11595</f>
        <v>11595</v>
      </c>
      <c r="N210" s="32" t="s">
        <v>1110</v>
      </c>
      <c r="O210" s="31">
        <f>11000</f>
        <v>11000</v>
      </c>
      <c r="P210" s="32" t="s">
        <v>678</v>
      </c>
      <c r="Q210" s="31">
        <f>11075</f>
        <v>11075</v>
      </c>
      <c r="R210" s="32" t="s">
        <v>679</v>
      </c>
      <c r="S210" s="33">
        <f>11218.89</f>
        <v>11218.89</v>
      </c>
      <c r="T210" s="30">
        <f>1230</f>
        <v>1230</v>
      </c>
      <c r="U210" s="30" t="str">
        <f t="shared" si="5"/>
        <v>－</v>
      </c>
      <c r="V210" s="30">
        <f>13816065</f>
        <v>13816065</v>
      </c>
      <c r="W210" s="30" t="str">
        <f t="shared" si="6"/>
        <v>－</v>
      </c>
      <c r="X210" s="34">
        <f>9</f>
        <v>9</v>
      </c>
    </row>
    <row r="211" spans="1:24">
      <c r="A211" s="25" t="s">
        <v>1144</v>
      </c>
      <c r="B211" s="25" t="s">
        <v>533</v>
      </c>
      <c r="C211" s="25" t="s">
        <v>534</v>
      </c>
      <c r="D211" s="25" t="s">
        <v>535</v>
      </c>
      <c r="E211" s="26" t="s">
        <v>43</v>
      </c>
      <c r="F211" s="27" t="s">
        <v>43</v>
      </c>
      <c r="G211" s="28" t="s">
        <v>43</v>
      </c>
      <c r="H211" s="29"/>
      <c r="I211" s="29" t="s">
        <v>465</v>
      </c>
      <c r="J211" s="30">
        <v>1</v>
      </c>
      <c r="K211" s="31">
        <f>14000</f>
        <v>14000</v>
      </c>
      <c r="L211" s="32" t="s">
        <v>1110</v>
      </c>
      <c r="M211" s="31">
        <f>14000</f>
        <v>14000</v>
      </c>
      <c r="N211" s="32" t="s">
        <v>1110</v>
      </c>
      <c r="O211" s="31">
        <f>13130</f>
        <v>13130</v>
      </c>
      <c r="P211" s="32" t="s">
        <v>680</v>
      </c>
      <c r="Q211" s="31">
        <f>13670</f>
        <v>13670</v>
      </c>
      <c r="R211" s="32" t="s">
        <v>777</v>
      </c>
      <c r="S211" s="33">
        <f>13603.25</f>
        <v>13603.25</v>
      </c>
      <c r="T211" s="30">
        <f>14450</f>
        <v>14450</v>
      </c>
      <c r="U211" s="30" t="str">
        <f t="shared" si="5"/>
        <v>－</v>
      </c>
      <c r="V211" s="30">
        <f>197257000</f>
        <v>197257000</v>
      </c>
      <c r="W211" s="30" t="str">
        <f t="shared" si="6"/>
        <v>－</v>
      </c>
      <c r="X211" s="34">
        <f>20</f>
        <v>20</v>
      </c>
    </row>
    <row r="212" spans="1:24">
      <c r="A212" s="25" t="s">
        <v>1144</v>
      </c>
      <c r="B212" s="25" t="s">
        <v>536</v>
      </c>
      <c r="C212" s="25" t="s">
        <v>537</v>
      </c>
      <c r="D212" s="25" t="s">
        <v>538</v>
      </c>
      <c r="E212" s="26" t="s">
        <v>43</v>
      </c>
      <c r="F212" s="27" t="s">
        <v>43</v>
      </c>
      <c r="G212" s="28" t="s">
        <v>43</v>
      </c>
      <c r="H212" s="29"/>
      <c r="I212" s="29" t="s">
        <v>465</v>
      </c>
      <c r="J212" s="30">
        <v>1</v>
      </c>
      <c r="K212" s="31">
        <f>12450</f>
        <v>12450</v>
      </c>
      <c r="L212" s="32" t="s">
        <v>1110</v>
      </c>
      <c r="M212" s="31">
        <f>12630</f>
        <v>12630</v>
      </c>
      <c r="N212" s="32" t="s">
        <v>777</v>
      </c>
      <c r="O212" s="31">
        <f>11980</f>
        <v>11980</v>
      </c>
      <c r="P212" s="32" t="s">
        <v>680</v>
      </c>
      <c r="Q212" s="31">
        <f>12630</f>
        <v>12630</v>
      </c>
      <c r="R212" s="32" t="s">
        <v>777</v>
      </c>
      <c r="S212" s="33">
        <f>12348.5</f>
        <v>12348.5</v>
      </c>
      <c r="T212" s="30">
        <f>4804</f>
        <v>4804</v>
      </c>
      <c r="U212" s="30" t="str">
        <f t="shared" si="5"/>
        <v>－</v>
      </c>
      <c r="V212" s="30">
        <f>59045450</f>
        <v>59045450</v>
      </c>
      <c r="W212" s="30" t="str">
        <f t="shared" si="6"/>
        <v>－</v>
      </c>
      <c r="X212" s="34">
        <f>10</f>
        <v>10</v>
      </c>
    </row>
    <row r="213" spans="1:24">
      <c r="A213" s="25" t="s">
        <v>1144</v>
      </c>
      <c r="B213" s="25" t="s">
        <v>783</v>
      </c>
      <c r="C213" s="25" t="s">
        <v>784</v>
      </c>
      <c r="D213" s="25" t="s">
        <v>785</v>
      </c>
      <c r="E213" s="26" t="s">
        <v>43</v>
      </c>
      <c r="F213" s="27" t="s">
        <v>43</v>
      </c>
      <c r="G213" s="28" t="s">
        <v>43</v>
      </c>
      <c r="H213" s="29"/>
      <c r="I213" s="29" t="s">
        <v>465</v>
      </c>
      <c r="J213" s="30">
        <v>1</v>
      </c>
      <c r="K213" s="31">
        <f>12355</f>
        <v>12355</v>
      </c>
      <c r="L213" s="32" t="s">
        <v>1110</v>
      </c>
      <c r="M213" s="31">
        <f>12355</f>
        <v>12355</v>
      </c>
      <c r="N213" s="32" t="s">
        <v>1110</v>
      </c>
      <c r="O213" s="31">
        <f>11805</f>
        <v>11805</v>
      </c>
      <c r="P213" s="32" t="s">
        <v>778</v>
      </c>
      <c r="Q213" s="31">
        <f>11805</f>
        <v>11805</v>
      </c>
      <c r="R213" s="32" t="s">
        <v>778</v>
      </c>
      <c r="S213" s="33">
        <f>12040</f>
        <v>12040</v>
      </c>
      <c r="T213" s="30">
        <f>472</f>
        <v>472</v>
      </c>
      <c r="U213" s="30" t="str">
        <f t="shared" si="5"/>
        <v>－</v>
      </c>
      <c r="V213" s="30">
        <f>5604860</f>
        <v>5604860</v>
      </c>
      <c r="W213" s="30" t="str">
        <f t="shared" si="6"/>
        <v>－</v>
      </c>
      <c r="X213" s="34">
        <f>3</f>
        <v>3</v>
      </c>
    </row>
    <row r="214" spans="1:24">
      <c r="A214" s="25" t="s">
        <v>1144</v>
      </c>
      <c r="B214" s="25" t="s">
        <v>991</v>
      </c>
      <c r="C214" s="25" t="s">
        <v>992</v>
      </c>
      <c r="D214" s="25" t="s">
        <v>993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</v>
      </c>
      <c r="K214" s="31">
        <f>1203</f>
        <v>1203</v>
      </c>
      <c r="L214" s="32" t="s">
        <v>1110</v>
      </c>
      <c r="M214" s="31">
        <f>1207</f>
        <v>1207</v>
      </c>
      <c r="N214" s="32" t="s">
        <v>677</v>
      </c>
      <c r="O214" s="31">
        <f>1145</f>
        <v>1145</v>
      </c>
      <c r="P214" s="32" t="s">
        <v>680</v>
      </c>
      <c r="Q214" s="31">
        <f>1203</f>
        <v>1203</v>
      </c>
      <c r="R214" s="32" t="s">
        <v>777</v>
      </c>
      <c r="S214" s="33">
        <f>1183.24</f>
        <v>1183.24</v>
      </c>
      <c r="T214" s="30">
        <f>5192184</f>
        <v>5192184</v>
      </c>
      <c r="U214" s="30">
        <f>43780</f>
        <v>43780</v>
      </c>
      <c r="V214" s="30">
        <f>6102711063</f>
        <v>6102711063</v>
      </c>
      <c r="W214" s="30">
        <f>51634920</f>
        <v>51634920</v>
      </c>
      <c r="X214" s="34">
        <f>21</f>
        <v>21</v>
      </c>
    </row>
    <row r="215" spans="1:24">
      <c r="A215" s="25" t="s">
        <v>1144</v>
      </c>
      <c r="B215" s="25" t="s">
        <v>994</v>
      </c>
      <c r="C215" s="25" t="s">
        <v>995</v>
      </c>
      <c r="D215" s="25" t="s">
        <v>996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</v>
      </c>
      <c r="K215" s="31">
        <f>1236</f>
        <v>1236</v>
      </c>
      <c r="L215" s="32" t="s">
        <v>1110</v>
      </c>
      <c r="M215" s="31">
        <f>1236</f>
        <v>1236</v>
      </c>
      <c r="N215" s="32" t="s">
        <v>1110</v>
      </c>
      <c r="O215" s="31">
        <f>1158</f>
        <v>1158</v>
      </c>
      <c r="P215" s="32" t="s">
        <v>680</v>
      </c>
      <c r="Q215" s="31">
        <f>1212</f>
        <v>1212</v>
      </c>
      <c r="R215" s="32" t="s">
        <v>777</v>
      </c>
      <c r="S215" s="33">
        <f>1203.81</f>
        <v>1203.81</v>
      </c>
      <c r="T215" s="30">
        <f>195882</f>
        <v>195882</v>
      </c>
      <c r="U215" s="30" t="str">
        <f>"－"</f>
        <v>－</v>
      </c>
      <c r="V215" s="30">
        <f>235642191</f>
        <v>235642191</v>
      </c>
      <c r="W215" s="30" t="str">
        <f>"－"</f>
        <v>－</v>
      </c>
      <c r="X215" s="34">
        <f>21</f>
        <v>21</v>
      </c>
    </row>
    <row r="216" spans="1:24">
      <c r="A216" s="25" t="s">
        <v>1144</v>
      </c>
      <c r="B216" s="25" t="s">
        <v>997</v>
      </c>
      <c r="C216" s="25" t="s">
        <v>998</v>
      </c>
      <c r="D216" s="25" t="s">
        <v>999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</v>
      </c>
      <c r="K216" s="31">
        <f>1070</f>
        <v>1070</v>
      </c>
      <c r="L216" s="32" t="s">
        <v>1110</v>
      </c>
      <c r="M216" s="31">
        <f>1070</f>
        <v>1070</v>
      </c>
      <c r="N216" s="32" t="s">
        <v>1110</v>
      </c>
      <c r="O216" s="31">
        <f>986</f>
        <v>986</v>
      </c>
      <c r="P216" s="32" t="s">
        <v>680</v>
      </c>
      <c r="Q216" s="31">
        <f>1022</f>
        <v>1022</v>
      </c>
      <c r="R216" s="32" t="s">
        <v>777</v>
      </c>
      <c r="S216" s="33">
        <f>1024.67</f>
        <v>1024.67</v>
      </c>
      <c r="T216" s="30">
        <f>16249</f>
        <v>16249</v>
      </c>
      <c r="U216" s="30" t="str">
        <f>"－"</f>
        <v>－</v>
      </c>
      <c r="V216" s="30">
        <f>16618889</f>
        <v>16618889</v>
      </c>
      <c r="W216" s="30" t="str">
        <f>"－"</f>
        <v>－</v>
      </c>
      <c r="X216" s="34">
        <f>21</f>
        <v>21</v>
      </c>
    </row>
    <row r="217" spans="1:24">
      <c r="A217" s="25" t="s">
        <v>1144</v>
      </c>
      <c r="B217" s="25" t="s">
        <v>1000</v>
      </c>
      <c r="C217" s="25" t="s">
        <v>1001</v>
      </c>
      <c r="D217" s="25" t="s">
        <v>1002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</v>
      </c>
      <c r="K217" s="31">
        <f>2347</f>
        <v>2347</v>
      </c>
      <c r="L217" s="32" t="s">
        <v>1110</v>
      </c>
      <c r="M217" s="31">
        <f>2347</f>
        <v>2347</v>
      </c>
      <c r="N217" s="32" t="s">
        <v>1110</v>
      </c>
      <c r="O217" s="31">
        <f>2163</f>
        <v>2163</v>
      </c>
      <c r="P217" s="32" t="s">
        <v>680</v>
      </c>
      <c r="Q217" s="31">
        <f>2273</f>
        <v>2273</v>
      </c>
      <c r="R217" s="32" t="s">
        <v>777</v>
      </c>
      <c r="S217" s="33">
        <f>2267.1</f>
        <v>2267.1</v>
      </c>
      <c r="T217" s="30">
        <f>311051</f>
        <v>311051</v>
      </c>
      <c r="U217" s="30">
        <f>46</f>
        <v>46</v>
      </c>
      <c r="V217" s="30">
        <f>703328707</f>
        <v>703328707</v>
      </c>
      <c r="W217" s="30">
        <f>106242</f>
        <v>106242</v>
      </c>
      <c r="X217" s="34">
        <f>21</f>
        <v>21</v>
      </c>
    </row>
    <row r="218" spans="1:24">
      <c r="A218" s="25" t="s">
        <v>1144</v>
      </c>
      <c r="B218" s="25" t="s">
        <v>1003</v>
      </c>
      <c r="C218" s="25" t="s">
        <v>1004</v>
      </c>
      <c r="D218" s="25" t="s">
        <v>1005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</v>
      </c>
      <c r="K218" s="31">
        <f>2356</f>
        <v>2356</v>
      </c>
      <c r="L218" s="32" t="s">
        <v>1110</v>
      </c>
      <c r="M218" s="31">
        <f>2356</f>
        <v>2356</v>
      </c>
      <c r="N218" s="32" t="s">
        <v>1110</v>
      </c>
      <c r="O218" s="31">
        <f>2226</f>
        <v>2226</v>
      </c>
      <c r="P218" s="32" t="s">
        <v>680</v>
      </c>
      <c r="Q218" s="31">
        <f>2341</f>
        <v>2341</v>
      </c>
      <c r="R218" s="32" t="s">
        <v>777</v>
      </c>
      <c r="S218" s="33">
        <f>2297.86</f>
        <v>2297.86</v>
      </c>
      <c r="T218" s="30">
        <f>966688</f>
        <v>966688</v>
      </c>
      <c r="U218" s="30">
        <f>111200</f>
        <v>111200</v>
      </c>
      <c r="V218" s="30">
        <f>2220554032</f>
        <v>2220554032</v>
      </c>
      <c r="W218" s="30">
        <f>256875770</f>
        <v>256875770</v>
      </c>
      <c r="X218" s="34">
        <f>21</f>
        <v>21</v>
      </c>
    </row>
    <row r="219" spans="1:24">
      <c r="A219" s="25" t="s">
        <v>1144</v>
      </c>
      <c r="B219" s="25" t="s">
        <v>1006</v>
      </c>
      <c r="C219" s="25" t="s">
        <v>1007</v>
      </c>
      <c r="D219" s="25" t="s">
        <v>1008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10</v>
      </c>
      <c r="K219" s="31">
        <f>586.8</f>
        <v>586.79999999999995</v>
      </c>
      <c r="L219" s="32" t="s">
        <v>1110</v>
      </c>
      <c r="M219" s="31">
        <f>587.3</f>
        <v>587.29999999999995</v>
      </c>
      <c r="N219" s="32" t="s">
        <v>1110</v>
      </c>
      <c r="O219" s="31">
        <f>550.9</f>
        <v>550.9</v>
      </c>
      <c r="P219" s="32" t="s">
        <v>680</v>
      </c>
      <c r="Q219" s="31">
        <f>569</f>
        <v>569</v>
      </c>
      <c r="R219" s="32" t="s">
        <v>777</v>
      </c>
      <c r="S219" s="33">
        <f>570.61</f>
        <v>570.61</v>
      </c>
      <c r="T219" s="30">
        <f>2077390</f>
        <v>2077390</v>
      </c>
      <c r="U219" s="30">
        <f>121020</f>
        <v>121020</v>
      </c>
      <c r="V219" s="30">
        <f>1187471242</f>
        <v>1187471242</v>
      </c>
      <c r="W219" s="30">
        <f>70087883</f>
        <v>70087883</v>
      </c>
      <c r="X219" s="34">
        <f>21</f>
        <v>21</v>
      </c>
    </row>
    <row r="220" spans="1:24">
      <c r="A220" s="25" t="s">
        <v>1144</v>
      </c>
      <c r="B220" s="25" t="s">
        <v>1009</v>
      </c>
      <c r="C220" s="25" t="s">
        <v>1010</v>
      </c>
      <c r="D220" s="25" t="s">
        <v>1011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2373.5</f>
        <v>2373.5</v>
      </c>
      <c r="L220" s="32" t="s">
        <v>674</v>
      </c>
      <c r="M220" s="31">
        <f>2373.5</f>
        <v>2373.5</v>
      </c>
      <c r="N220" s="32" t="s">
        <v>674</v>
      </c>
      <c r="O220" s="31">
        <f>2159.5</f>
        <v>2159.5</v>
      </c>
      <c r="P220" s="32" t="s">
        <v>680</v>
      </c>
      <c r="Q220" s="31">
        <f>2236</f>
        <v>2236</v>
      </c>
      <c r="R220" s="32" t="s">
        <v>777</v>
      </c>
      <c r="S220" s="33">
        <f>2231</f>
        <v>2231</v>
      </c>
      <c r="T220" s="30">
        <f>6610</f>
        <v>6610</v>
      </c>
      <c r="U220" s="30" t="str">
        <f>"－"</f>
        <v>－</v>
      </c>
      <c r="V220" s="30">
        <f>14580870</f>
        <v>14580870</v>
      </c>
      <c r="W220" s="30" t="str">
        <f>"－"</f>
        <v>－</v>
      </c>
      <c r="X220" s="34">
        <f>9</f>
        <v>9</v>
      </c>
    </row>
    <row r="221" spans="1:24">
      <c r="A221" s="25" t="s">
        <v>1144</v>
      </c>
      <c r="B221" s="25" t="s">
        <v>1012</v>
      </c>
      <c r="C221" s="25" t="s">
        <v>1013</v>
      </c>
      <c r="D221" s="25" t="s">
        <v>1014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2384</f>
        <v>2384</v>
      </c>
      <c r="L221" s="32" t="s">
        <v>1110</v>
      </c>
      <c r="M221" s="31">
        <f>2384</f>
        <v>2384</v>
      </c>
      <c r="N221" s="32" t="s">
        <v>1110</v>
      </c>
      <c r="O221" s="31">
        <f>2191.5</f>
        <v>2191.5</v>
      </c>
      <c r="P221" s="32" t="s">
        <v>680</v>
      </c>
      <c r="Q221" s="31">
        <f>2277.5</f>
        <v>2277.5</v>
      </c>
      <c r="R221" s="32" t="s">
        <v>777</v>
      </c>
      <c r="S221" s="33">
        <f>2262.92</f>
        <v>2262.92</v>
      </c>
      <c r="T221" s="30">
        <f>7680</f>
        <v>7680</v>
      </c>
      <c r="U221" s="30" t="str">
        <f>"－"</f>
        <v>－</v>
      </c>
      <c r="V221" s="30">
        <f>17380330</f>
        <v>17380330</v>
      </c>
      <c r="W221" s="30" t="str">
        <f>"－"</f>
        <v>－</v>
      </c>
      <c r="X221" s="34">
        <f>12</f>
        <v>12</v>
      </c>
    </row>
    <row r="222" spans="1:24">
      <c r="A222" s="25" t="s">
        <v>1144</v>
      </c>
      <c r="B222" s="25" t="s">
        <v>1015</v>
      </c>
      <c r="C222" s="25" t="s">
        <v>1016</v>
      </c>
      <c r="D222" s="25" t="s">
        <v>1017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10</v>
      </c>
      <c r="K222" s="31">
        <f>2122.5</f>
        <v>2122.5</v>
      </c>
      <c r="L222" s="32" t="s">
        <v>682</v>
      </c>
      <c r="M222" s="31">
        <f>2142.5</f>
        <v>2142.5</v>
      </c>
      <c r="N222" s="32" t="s">
        <v>777</v>
      </c>
      <c r="O222" s="31">
        <f>2122.5</f>
        <v>2122.5</v>
      </c>
      <c r="P222" s="32" t="s">
        <v>682</v>
      </c>
      <c r="Q222" s="31">
        <f>2142.5</f>
        <v>2142.5</v>
      </c>
      <c r="R222" s="32" t="s">
        <v>777</v>
      </c>
      <c r="S222" s="33">
        <f>2133.5</f>
        <v>2133.5</v>
      </c>
      <c r="T222" s="30">
        <f>3780</f>
        <v>3780</v>
      </c>
      <c r="U222" s="30" t="str">
        <f>"－"</f>
        <v>－</v>
      </c>
      <c r="V222" s="30">
        <f>8023270</f>
        <v>8023270</v>
      </c>
      <c r="W222" s="30" t="str">
        <f>"－"</f>
        <v>－</v>
      </c>
      <c r="X222" s="34">
        <f>2</f>
        <v>2</v>
      </c>
    </row>
    <row r="223" spans="1:24">
      <c r="A223" s="25" t="s">
        <v>1144</v>
      </c>
      <c r="B223" s="25" t="s">
        <v>1018</v>
      </c>
      <c r="C223" s="25" t="s">
        <v>1019</v>
      </c>
      <c r="D223" s="25" t="s">
        <v>1020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10</v>
      </c>
      <c r="K223" s="31">
        <f>2302.5</f>
        <v>2302.5</v>
      </c>
      <c r="L223" s="32" t="s">
        <v>1116</v>
      </c>
      <c r="M223" s="31">
        <f>2302.5</f>
        <v>2302.5</v>
      </c>
      <c r="N223" s="32" t="s">
        <v>1116</v>
      </c>
      <c r="O223" s="31">
        <f>2200.5</f>
        <v>2200.5</v>
      </c>
      <c r="P223" s="32" t="s">
        <v>680</v>
      </c>
      <c r="Q223" s="31">
        <f>2245</f>
        <v>2245</v>
      </c>
      <c r="R223" s="32" t="s">
        <v>777</v>
      </c>
      <c r="S223" s="33">
        <f>2244.64</f>
        <v>2244.64</v>
      </c>
      <c r="T223" s="30">
        <f>1600</f>
        <v>1600</v>
      </c>
      <c r="U223" s="30" t="str">
        <f>"－"</f>
        <v>－</v>
      </c>
      <c r="V223" s="30">
        <f>3570860</f>
        <v>3570860</v>
      </c>
      <c r="W223" s="30" t="str">
        <f>"－"</f>
        <v>－</v>
      </c>
      <c r="X223" s="34">
        <f>7</f>
        <v>7</v>
      </c>
    </row>
    <row r="224" spans="1:24">
      <c r="A224" s="25" t="s">
        <v>1144</v>
      </c>
      <c r="B224" s="25" t="s">
        <v>1021</v>
      </c>
      <c r="C224" s="25" t="s">
        <v>1022</v>
      </c>
      <c r="D224" s="25" t="s">
        <v>1023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5036</f>
        <v>5036</v>
      </c>
      <c r="L224" s="32" t="s">
        <v>1110</v>
      </c>
      <c r="M224" s="31">
        <f>5036</f>
        <v>5036</v>
      </c>
      <c r="N224" s="32" t="s">
        <v>1110</v>
      </c>
      <c r="O224" s="31">
        <f>4849</f>
        <v>4849</v>
      </c>
      <c r="P224" s="32" t="s">
        <v>676</v>
      </c>
      <c r="Q224" s="31">
        <f>4849</f>
        <v>4849</v>
      </c>
      <c r="R224" s="32" t="s">
        <v>676</v>
      </c>
      <c r="S224" s="33">
        <f>4959.6</f>
        <v>4959.6000000000004</v>
      </c>
      <c r="T224" s="30">
        <f>1031510</f>
        <v>1031510</v>
      </c>
      <c r="U224" s="30">
        <f>1000000</f>
        <v>1000000</v>
      </c>
      <c r="V224" s="30">
        <f>5091270098</f>
        <v>5091270098</v>
      </c>
      <c r="W224" s="30">
        <f>4934225688</f>
        <v>4934225688</v>
      </c>
      <c r="X224" s="34">
        <f>5</f>
        <v>5</v>
      </c>
    </row>
    <row r="225" spans="1:24">
      <c r="A225" s="25" t="s">
        <v>1144</v>
      </c>
      <c r="B225" s="25" t="s">
        <v>1024</v>
      </c>
      <c r="C225" s="25" t="s">
        <v>1025</v>
      </c>
      <c r="D225" s="25" t="s">
        <v>1026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10</v>
      </c>
      <c r="K225" s="31">
        <f>4980</f>
        <v>4980</v>
      </c>
      <c r="L225" s="32" t="s">
        <v>675</v>
      </c>
      <c r="M225" s="31">
        <f>5064</f>
        <v>5064</v>
      </c>
      <c r="N225" s="32" t="s">
        <v>675</v>
      </c>
      <c r="O225" s="31">
        <f>4886</f>
        <v>4886</v>
      </c>
      <c r="P225" s="32" t="s">
        <v>676</v>
      </c>
      <c r="Q225" s="31">
        <f>4886</f>
        <v>4886</v>
      </c>
      <c r="R225" s="32" t="s">
        <v>676</v>
      </c>
      <c r="S225" s="33">
        <f>5012.75</f>
        <v>5012.75</v>
      </c>
      <c r="T225" s="30">
        <f>396060</f>
        <v>396060</v>
      </c>
      <c r="U225" s="30">
        <f>395000</f>
        <v>395000</v>
      </c>
      <c r="V225" s="30">
        <f>1998936820</f>
        <v>1998936820</v>
      </c>
      <c r="W225" s="30">
        <f>1993664500</f>
        <v>1993664500</v>
      </c>
      <c r="X225" s="34">
        <f>4</f>
        <v>4</v>
      </c>
    </row>
    <row r="226" spans="1:24">
      <c r="A226" s="25" t="s">
        <v>1144</v>
      </c>
      <c r="B226" s="25" t="s">
        <v>1027</v>
      </c>
      <c r="C226" s="25" t="s">
        <v>1028</v>
      </c>
      <c r="D226" s="25" t="s">
        <v>1029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10</v>
      </c>
      <c r="K226" s="31">
        <f>5013</f>
        <v>5013</v>
      </c>
      <c r="L226" s="32" t="s">
        <v>675</v>
      </c>
      <c r="M226" s="31">
        <f>5089</f>
        <v>5089</v>
      </c>
      <c r="N226" s="32" t="s">
        <v>1113</v>
      </c>
      <c r="O226" s="31">
        <f>5013</f>
        <v>5013</v>
      </c>
      <c r="P226" s="32" t="s">
        <v>675</v>
      </c>
      <c r="Q226" s="31">
        <f>5089</f>
        <v>5089</v>
      </c>
      <c r="R226" s="32" t="s">
        <v>1113</v>
      </c>
      <c r="S226" s="33">
        <f>5051</f>
        <v>5051</v>
      </c>
      <c r="T226" s="30">
        <f>50</f>
        <v>50</v>
      </c>
      <c r="U226" s="30" t="str">
        <f>"－"</f>
        <v>－</v>
      </c>
      <c r="V226" s="30">
        <f>253690</f>
        <v>253690</v>
      </c>
      <c r="W226" s="30" t="str">
        <f>"－"</f>
        <v>－</v>
      </c>
      <c r="X226" s="34">
        <f>2</f>
        <v>2</v>
      </c>
    </row>
    <row r="227" spans="1:24">
      <c r="A227" s="25" t="s">
        <v>1144</v>
      </c>
      <c r="B227" s="25" t="s">
        <v>1053</v>
      </c>
      <c r="C227" s="25" t="s">
        <v>1052</v>
      </c>
      <c r="D227" s="25" t="s">
        <v>1051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5039</f>
        <v>5039</v>
      </c>
      <c r="L227" s="32" t="s">
        <v>1110</v>
      </c>
      <c r="M227" s="31">
        <f>5451</f>
        <v>5451</v>
      </c>
      <c r="N227" s="32" t="s">
        <v>678</v>
      </c>
      <c r="O227" s="31">
        <f>5035</f>
        <v>5035</v>
      </c>
      <c r="P227" s="32" t="s">
        <v>674</v>
      </c>
      <c r="Q227" s="31">
        <f>5231</f>
        <v>5231</v>
      </c>
      <c r="R227" s="32" t="s">
        <v>777</v>
      </c>
      <c r="S227" s="33">
        <f>5111.6</f>
        <v>5111.6000000000004</v>
      </c>
      <c r="T227" s="30">
        <f>1115740</f>
        <v>1115740</v>
      </c>
      <c r="U227" s="30">
        <f>1105820</f>
        <v>1105820</v>
      </c>
      <c r="V227" s="30">
        <f>5684949013</f>
        <v>5684949013</v>
      </c>
      <c r="W227" s="30">
        <f>5633594013</f>
        <v>5633594013</v>
      </c>
      <c r="X227" s="34">
        <f>20</f>
        <v>20</v>
      </c>
    </row>
    <row r="228" spans="1:24">
      <c r="A228" s="25" t="s">
        <v>1144</v>
      </c>
      <c r="B228" s="25" t="s">
        <v>1050</v>
      </c>
      <c r="C228" s="25" t="s">
        <v>1049</v>
      </c>
      <c r="D228" s="25" t="s">
        <v>1048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</v>
      </c>
      <c r="K228" s="31">
        <f>967</f>
        <v>967</v>
      </c>
      <c r="L228" s="32" t="s">
        <v>1110</v>
      </c>
      <c r="M228" s="31">
        <f>995</f>
        <v>995</v>
      </c>
      <c r="N228" s="32" t="s">
        <v>674</v>
      </c>
      <c r="O228" s="31">
        <f>953</f>
        <v>953</v>
      </c>
      <c r="P228" s="32" t="s">
        <v>778</v>
      </c>
      <c r="Q228" s="31">
        <f>956</f>
        <v>956</v>
      </c>
      <c r="R228" s="32" t="s">
        <v>777</v>
      </c>
      <c r="S228" s="33">
        <f>973.1</f>
        <v>973.1</v>
      </c>
      <c r="T228" s="30">
        <f>356130</f>
        <v>356130</v>
      </c>
      <c r="U228" s="30">
        <f>256500</f>
        <v>256500</v>
      </c>
      <c r="V228" s="30">
        <f>344296185</f>
        <v>344296185</v>
      </c>
      <c r="W228" s="30">
        <f>247725345</f>
        <v>247725345</v>
      </c>
      <c r="X228" s="34">
        <f>21</f>
        <v>21</v>
      </c>
    </row>
    <row r="229" spans="1:24">
      <c r="A229" s="25" t="s">
        <v>1144</v>
      </c>
      <c r="B229" s="25" t="s">
        <v>1047</v>
      </c>
      <c r="C229" s="25" t="s">
        <v>1046</v>
      </c>
      <c r="D229" s="25" t="s">
        <v>1045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1192</f>
        <v>1192</v>
      </c>
      <c r="L229" s="32" t="s">
        <v>1110</v>
      </c>
      <c r="M229" s="31">
        <f>1192</f>
        <v>1192</v>
      </c>
      <c r="N229" s="32" t="s">
        <v>1110</v>
      </c>
      <c r="O229" s="31">
        <f>1090</f>
        <v>1090</v>
      </c>
      <c r="P229" s="32" t="s">
        <v>680</v>
      </c>
      <c r="Q229" s="31">
        <f>1116</f>
        <v>1116</v>
      </c>
      <c r="R229" s="32" t="s">
        <v>777</v>
      </c>
      <c r="S229" s="33">
        <f>1126.19</f>
        <v>1126.19</v>
      </c>
      <c r="T229" s="30">
        <f>339147</f>
        <v>339147</v>
      </c>
      <c r="U229" s="30" t="str">
        <f>"－"</f>
        <v>－</v>
      </c>
      <c r="V229" s="30">
        <f>376067286</f>
        <v>376067286</v>
      </c>
      <c r="W229" s="30" t="str">
        <f>"－"</f>
        <v>－</v>
      </c>
      <c r="X229" s="34">
        <f>21</f>
        <v>21</v>
      </c>
    </row>
    <row r="230" spans="1:24">
      <c r="A230" s="25" t="s">
        <v>1144</v>
      </c>
      <c r="B230" s="25" t="s">
        <v>1044</v>
      </c>
      <c r="C230" s="25" t="s">
        <v>1043</v>
      </c>
      <c r="D230" s="25" t="s">
        <v>1042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980</f>
        <v>980</v>
      </c>
      <c r="L230" s="32" t="s">
        <v>1110</v>
      </c>
      <c r="M230" s="31">
        <f>987</f>
        <v>987</v>
      </c>
      <c r="N230" s="32" t="s">
        <v>759</v>
      </c>
      <c r="O230" s="31">
        <f>954</f>
        <v>954</v>
      </c>
      <c r="P230" s="32" t="s">
        <v>674</v>
      </c>
      <c r="Q230" s="31">
        <f>970</f>
        <v>970</v>
      </c>
      <c r="R230" s="32" t="s">
        <v>777</v>
      </c>
      <c r="S230" s="33">
        <f>969.71</f>
        <v>969.71</v>
      </c>
      <c r="T230" s="30">
        <f>14497</f>
        <v>14497</v>
      </c>
      <c r="U230" s="30" t="str">
        <f>"－"</f>
        <v>－</v>
      </c>
      <c r="V230" s="30">
        <f>14016231</f>
        <v>14016231</v>
      </c>
      <c r="W230" s="30" t="str">
        <f>"－"</f>
        <v>－</v>
      </c>
      <c r="X230" s="34">
        <f>21</f>
        <v>21</v>
      </c>
    </row>
    <row r="231" spans="1:24">
      <c r="A231" s="25" t="s">
        <v>1144</v>
      </c>
      <c r="B231" s="25" t="s">
        <v>1041</v>
      </c>
      <c r="C231" s="25" t="s">
        <v>1040</v>
      </c>
      <c r="D231" s="25" t="s">
        <v>1039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</v>
      </c>
      <c r="K231" s="31">
        <f>1028</f>
        <v>1028</v>
      </c>
      <c r="L231" s="32" t="s">
        <v>1110</v>
      </c>
      <c r="M231" s="31">
        <f>1041</f>
        <v>1041</v>
      </c>
      <c r="N231" s="32" t="s">
        <v>777</v>
      </c>
      <c r="O231" s="31">
        <f>996</f>
        <v>996</v>
      </c>
      <c r="P231" s="32" t="s">
        <v>674</v>
      </c>
      <c r="Q231" s="31">
        <f>1041</f>
        <v>1041</v>
      </c>
      <c r="R231" s="32" t="s">
        <v>777</v>
      </c>
      <c r="S231" s="33">
        <f>1021</f>
        <v>1021</v>
      </c>
      <c r="T231" s="30">
        <f>217603</f>
        <v>217603</v>
      </c>
      <c r="U231" s="30">
        <f>195000</f>
        <v>195000</v>
      </c>
      <c r="V231" s="30">
        <f>223416314</f>
        <v>223416314</v>
      </c>
      <c r="W231" s="30">
        <f>200387800</f>
        <v>200387800</v>
      </c>
      <c r="X231" s="34">
        <f>21</f>
        <v>21</v>
      </c>
    </row>
    <row r="232" spans="1:24">
      <c r="A232" s="25" t="s">
        <v>1144</v>
      </c>
      <c r="B232" s="25" t="s">
        <v>1038</v>
      </c>
      <c r="C232" s="25" t="s">
        <v>1037</v>
      </c>
      <c r="D232" s="25" t="s">
        <v>1036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1049</f>
        <v>1049</v>
      </c>
      <c r="L232" s="32" t="s">
        <v>1110</v>
      </c>
      <c r="M232" s="31">
        <f>1055</f>
        <v>1055</v>
      </c>
      <c r="N232" s="32" t="s">
        <v>777</v>
      </c>
      <c r="O232" s="31">
        <f>1009</f>
        <v>1009</v>
      </c>
      <c r="P232" s="32" t="s">
        <v>674</v>
      </c>
      <c r="Q232" s="31">
        <f>1055</f>
        <v>1055</v>
      </c>
      <c r="R232" s="32" t="s">
        <v>777</v>
      </c>
      <c r="S232" s="33">
        <f>1037.76</f>
        <v>1037.76</v>
      </c>
      <c r="T232" s="30">
        <f>79277</f>
        <v>79277</v>
      </c>
      <c r="U232" s="30">
        <f>4</f>
        <v>4</v>
      </c>
      <c r="V232" s="30">
        <f>81683907</f>
        <v>81683907</v>
      </c>
      <c r="W232" s="30">
        <f>4104</f>
        <v>4104</v>
      </c>
      <c r="X232" s="34">
        <f>21</f>
        <v>21</v>
      </c>
    </row>
    <row r="233" spans="1:24">
      <c r="A233" s="25" t="s">
        <v>1144</v>
      </c>
      <c r="B233" s="25" t="s">
        <v>868</v>
      </c>
      <c r="C233" s="25" t="s">
        <v>869</v>
      </c>
      <c r="D233" s="25" t="s">
        <v>870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10</v>
      </c>
      <c r="K233" s="31">
        <f>2641.5</f>
        <v>2641.5</v>
      </c>
      <c r="L233" s="32" t="s">
        <v>1110</v>
      </c>
      <c r="M233" s="31">
        <f>2698</f>
        <v>2698</v>
      </c>
      <c r="N233" s="32" t="s">
        <v>676</v>
      </c>
      <c r="O233" s="31">
        <f>2487.5</f>
        <v>2487.5</v>
      </c>
      <c r="P233" s="32" t="s">
        <v>680</v>
      </c>
      <c r="Q233" s="31">
        <f>2620</f>
        <v>2620</v>
      </c>
      <c r="R233" s="32" t="s">
        <v>777</v>
      </c>
      <c r="S233" s="33">
        <f>2582.05</f>
        <v>2582.0500000000002</v>
      </c>
      <c r="T233" s="30">
        <f>28020</f>
        <v>28020</v>
      </c>
      <c r="U233" s="30" t="str">
        <f>"－"</f>
        <v>－</v>
      </c>
      <c r="V233" s="30">
        <f>72115450</f>
        <v>72115450</v>
      </c>
      <c r="W233" s="30" t="str">
        <f>"－"</f>
        <v>－</v>
      </c>
      <c r="X233" s="34">
        <f>21</f>
        <v>21</v>
      </c>
    </row>
    <row r="234" spans="1:24">
      <c r="A234" s="25" t="s">
        <v>1144</v>
      </c>
      <c r="B234" s="25" t="s">
        <v>871</v>
      </c>
      <c r="C234" s="25" t="s">
        <v>872</v>
      </c>
      <c r="D234" s="25" t="s">
        <v>873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</v>
      </c>
      <c r="K234" s="31">
        <f>1270</f>
        <v>1270</v>
      </c>
      <c r="L234" s="32" t="s">
        <v>1110</v>
      </c>
      <c r="M234" s="31">
        <f>1271</f>
        <v>1271</v>
      </c>
      <c r="N234" s="32" t="s">
        <v>1110</v>
      </c>
      <c r="O234" s="31">
        <f>1189</f>
        <v>1189</v>
      </c>
      <c r="P234" s="32" t="s">
        <v>680</v>
      </c>
      <c r="Q234" s="31">
        <f>1244</f>
        <v>1244</v>
      </c>
      <c r="R234" s="32" t="s">
        <v>777</v>
      </c>
      <c r="S234" s="33">
        <f>1228</f>
        <v>1228</v>
      </c>
      <c r="T234" s="30">
        <f>718108</f>
        <v>718108</v>
      </c>
      <c r="U234" s="30">
        <f>65002</f>
        <v>65002</v>
      </c>
      <c r="V234" s="30">
        <f>878310749</f>
        <v>878310749</v>
      </c>
      <c r="W234" s="30">
        <f>78873612</f>
        <v>78873612</v>
      </c>
      <c r="X234" s="34">
        <f>21</f>
        <v>21</v>
      </c>
    </row>
    <row r="235" spans="1:24">
      <c r="A235" s="25" t="s">
        <v>1144</v>
      </c>
      <c r="B235" s="25" t="s">
        <v>877</v>
      </c>
      <c r="C235" s="25" t="s">
        <v>878</v>
      </c>
      <c r="D235" s="25" t="s">
        <v>879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74430</f>
        <v>74430</v>
      </c>
      <c r="L235" s="32" t="s">
        <v>1110</v>
      </c>
      <c r="M235" s="31">
        <f>75930</f>
        <v>75930</v>
      </c>
      <c r="N235" s="32" t="s">
        <v>1110</v>
      </c>
      <c r="O235" s="31">
        <f>65470</f>
        <v>65470</v>
      </c>
      <c r="P235" s="32" t="s">
        <v>680</v>
      </c>
      <c r="Q235" s="31">
        <f>70130</f>
        <v>70130</v>
      </c>
      <c r="R235" s="32" t="s">
        <v>777</v>
      </c>
      <c r="S235" s="33">
        <f>71065.24</f>
        <v>71065.240000000005</v>
      </c>
      <c r="T235" s="30">
        <f>41328</f>
        <v>41328</v>
      </c>
      <c r="U235" s="30" t="str">
        <f>"－"</f>
        <v>－</v>
      </c>
      <c r="V235" s="30">
        <f>2859978230</f>
        <v>2859978230</v>
      </c>
      <c r="W235" s="30" t="str">
        <f>"－"</f>
        <v>－</v>
      </c>
      <c r="X235" s="34">
        <f>21</f>
        <v>21</v>
      </c>
    </row>
    <row r="236" spans="1:24">
      <c r="A236" s="25" t="s">
        <v>1144</v>
      </c>
      <c r="B236" s="25" t="s">
        <v>880</v>
      </c>
      <c r="C236" s="25" t="s">
        <v>881</v>
      </c>
      <c r="D236" s="25" t="s">
        <v>882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7530</f>
        <v>7530</v>
      </c>
      <c r="L236" s="32" t="s">
        <v>1110</v>
      </c>
      <c r="M236" s="31">
        <f>8150</f>
        <v>8150</v>
      </c>
      <c r="N236" s="32" t="s">
        <v>680</v>
      </c>
      <c r="O236" s="31">
        <f>7521</f>
        <v>7521</v>
      </c>
      <c r="P236" s="32" t="s">
        <v>1110</v>
      </c>
      <c r="Q236" s="31">
        <f>7785</f>
        <v>7785</v>
      </c>
      <c r="R236" s="32" t="s">
        <v>777</v>
      </c>
      <c r="S236" s="33">
        <f>7750.67</f>
        <v>7750.67</v>
      </c>
      <c r="T236" s="30">
        <f>91579</f>
        <v>91579</v>
      </c>
      <c r="U236" s="30">
        <f>32300</f>
        <v>32300</v>
      </c>
      <c r="V236" s="30">
        <f>720678601</f>
        <v>720678601</v>
      </c>
      <c r="W236" s="30">
        <f>253994749</f>
        <v>253994749</v>
      </c>
      <c r="X236" s="34">
        <f>21</f>
        <v>21</v>
      </c>
    </row>
    <row r="237" spans="1:24">
      <c r="A237" s="25" t="s">
        <v>1144</v>
      </c>
      <c r="B237" s="25" t="s">
        <v>884</v>
      </c>
      <c r="C237" s="25" t="s">
        <v>885</v>
      </c>
      <c r="D237" s="25" t="s">
        <v>886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16380</f>
        <v>16380</v>
      </c>
      <c r="L237" s="32" t="s">
        <v>1110</v>
      </c>
      <c r="M237" s="31">
        <f>16380</f>
        <v>16380</v>
      </c>
      <c r="N237" s="32" t="s">
        <v>1110</v>
      </c>
      <c r="O237" s="31">
        <f>14095</f>
        <v>14095</v>
      </c>
      <c r="P237" s="32" t="s">
        <v>680</v>
      </c>
      <c r="Q237" s="31">
        <f>15095</f>
        <v>15095</v>
      </c>
      <c r="R237" s="32" t="s">
        <v>777</v>
      </c>
      <c r="S237" s="33">
        <f>15304.29</f>
        <v>15304.29</v>
      </c>
      <c r="T237" s="30">
        <f>52260</f>
        <v>52260</v>
      </c>
      <c r="U237" s="30">
        <f>20</f>
        <v>20</v>
      </c>
      <c r="V237" s="30">
        <f>790922450</f>
        <v>790922450</v>
      </c>
      <c r="W237" s="30">
        <f>304300</f>
        <v>304300</v>
      </c>
      <c r="X237" s="34">
        <f>21</f>
        <v>21</v>
      </c>
    </row>
    <row r="238" spans="1:24">
      <c r="A238" s="25" t="s">
        <v>1144</v>
      </c>
      <c r="B238" s="25" t="s">
        <v>887</v>
      </c>
      <c r="C238" s="25" t="s">
        <v>888</v>
      </c>
      <c r="D238" s="25" t="s">
        <v>889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7574</f>
        <v>7574</v>
      </c>
      <c r="L238" s="32" t="s">
        <v>1110</v>
      </c>
      <c r="M238" s="31">
        <f>8106</f>
        <v>8106</v>
      </c>
      <c r="N238" s="32" t="s">
        <v>680</v>
      </c>
      <c r="O238" s="31">
        <f>7568</f>
        <v>7568</v>
      </c>
      <c r="P238" s="32" t="s">
        <v>1110</v>
      </c>
      <c r="Q238" s="31">
        <f>7832</f>
        <v>7832</v>
      </c>
      <c r="R238" s="32" t="s">
        <v>777</v>
      </c>
      <c r="S238" s="33">
        <f>7798.48</f>
        <v>7798.48</v>
      </c>
      <c r="T238" s="30">
        <f>103590</f>
        <v>103590</v>
      </c>
      <c r="U238" s="30">
        <f>69020</f>
        <v>69020</v>
      </c>
      <c r="V238" s="30">
        <f>822056168</f>
        <v>822056168</v>
      </c>
      <c r="W238" s="30">
        <f>552879198</f>
        <v>552879198</v>
      </c>
      <c r="X238" s="34">
        <f>21</f>
        <v>21</v>
      </c>
    </row>
    <row r="239" spans="1:24">
      <c r="A239" s="25" t="s">
        <v>1144</v>
      </c>
      <c r="B239" s="25" t="s">
        <v>890</v>
      </c>
      <c r="C239" s="25" t="s">
        <v>891</v>
      </c>
      <c r="D239" s="25" t="s">
        <v>892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10</v>
      </c>
      <c r="K239" s="31">
        <f>678.1</f>
        <v>678.1</v>
      </c>
      <c r="L239" s="32" t="s">
        <v>1110</v>
      </c>
      <c r="M239" s="31">
        <f>678.7</f>
        <v>678.7</v>
      </c>
      <c r="N239" s="32" t="s">
        <v>1116</v>
      </c>
      <c r="O239" s="31">
        <f>643</f>
        <v>643</v>
      </c>
      <c r="P239" s="32" t="s">
        <v>680</v>
      </c>
      <c r="Q239" s="31">
        <f>672.5</f>
        <v>672.5</v>
      </c>
      <c r="R239" s="32" t="s">
        <v>777</v>
      </c>
      <c r="S239" s="33">
        <f>660.9</f>
        <v>660.9</v>
      </c>
      <c r="T239" s="30">
        <f>1403650</f>
        <v>1403650</v>
      </c>
      <c r="U239" s="30">
        <f>150060</f>
        <v>150060</v>
      </c>
      <c r="V239" s="30">
        <f>931129396</f>
        <v>931129396</v>
      </c>
      <c r="W239" s="30">
        <f>97117443</f>
        <v>97117443</v>
      </c>
      <c r="X239" s="34">
        <f>21</f>
        <v>21</v>
      </c>
    </row>
    <row r="240" spans="1:24">
      <c r="A240" s="25" t="s">
        <v>1144</v>
      </c>
      <c r="B240" s="25" t="s">
        <v>893</v>
      </c>
      <c r="C240" s="25" t="s">
        <v>894</v>
      </c>
      <c r="D240" s="25" t="s">
        <v>895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10</v>
      </c>
      <c r="K240" s="31">
        <f>574</f>
        <v>574</v>
      </c>
      <c r="L240" s="32" t="s">
        <v>1110</v>
      </c>
      <c r="M240" s="31">
        <f>574</f>
        <v>574</v>
      </c>
      <c r="N240" s="32" t="s">
        <v>1110</v>
      </c>
      <c r="O240" s="31">
        <f>531.2</f>
        <v>531.20000000000005</v>
      </c>
      <c r="P240" s="32" t="s">
        <v>680</v>
      </c>
      <c r="Q240" s="31">
        <f>545.8</f>
        <v>545.79999999999995</v>
      </c>
      <c r="R240" s="32" t="s">
        <v>777</v>
      </c>
      <c r="S240" s="33">
        <f>550.19</f>
        <v>550.19000000000005</v>
      </c>
      <c r="T240" s="30">
        <f>1710620</f>
        <v>1710620</v>
      </c>
      <c r="U240" s="30">
        <f>1298680</f>
        <v>1298680</v>
      </c>
      <c r="V240" s="30">
        <f>936386608</f>
        <v>936386608</v>
      </c>
      <c r="W240" s="30">
        <f>709896513</f>
        <v>709896513</v>
      </c>
      <c r="X240" s="34">
        <f>21</f>
        <v>21</v>
      </c>
    </row>
    <row r="241" spans="1:24">
      <c r="A241" s="25" t="s">
        <v>1144</v>
      </c>
      <c r="B241" s="25" t="s">
        <v>934</v>
      </c>
      <c r="C241" s="25" t="s">
        <v>935</v>
      </c>
      <c r="D241" s="25" t="s">
        <v>936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1784</f>
        <v>1784</v>
      </c>
      <c r="L241" s="32" t="s">
        <v>1110</v>
      </c>
      <c r="M241" s="31">
        <f>1798</f>
        <v>1798</v>
      </c>
      <c r="N241" s="32" t="s">
        <v>1116</v>
      </c>
      <c r="O241" s="31">
        <f>1595</f>
        <v>1595</v>
      </c>
      <c r="P241" s="32" t="s">
        <v>874</v>
      </c>
      <c r="Q241" s="31">
        <f>1780</f>
        <v>1780</v>
      </c>
      <c r="R241" s="32" t="s">
        <v>777</v>
      </c>
      <c r="S241" s="33">
        <f>1730.05</f>
        <v>1730.05</v>
      </c>
      <c r="T241" s="30">
        <f>15833178</f>
        <v>15833178</v>
      </c>
      <c r="U241" s="30">
        <f>2441808</f>
        <v>2441808</v>
      </c>
      <c r="V241" s="30">
        <f>27291772037</f>
        <v>27291772037</v>
      </c>
      <c r="W241" s="30">
        <f>4268993233</f>
        <v>4268993233</v>
      </c>
      <c r="X241" s="34">
        <f>21</f>
        <v>21</v>
      </c>
    </row>
    <row r="242" spans="1:24">
      <c r="A242" s="25" t="s">
        <v>1144</v>
      </c>
      <c r="B242" s="25" t="s">
        <v>937</v>
      </c>
      <c r="C242" s="25" t="s">
        <v>938</v>
      </c>
      <c r="D242" s="25" t="s">
        <v>939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1864</f>
        <v>1864</v>
      </c>
      <c r="L242" s="32" t="s">
        <v>1110</v>
      </c>
      <c r="M242" s="31">
        <f>1902</f>
        <v>1902</v>
      </c>
      <c r="N242" s="32" t="s">
        <v>677</v>
      </c>
      <c r="O242" s="31">
        <f>1744</f>
        <v>1744</v>
      </c>
      <c r="P242" s="32" t="s">
        <v>874</v>
      </c>
      <c r="Q242" s="31">
        <f>1888</f>
        <v>1888</v>
      </c>
      <c r="R242" s="32" t="s">
        <v>777</v>
      </c>
      <c r="S242" s="33">
        <f>1839.33</f>
        <v>1839.33</v>
      </c>
      <c r="T242" s="30">
        <f>10726811</f>
        <v>10726811</v>
      </c>
      <c r="U242" s="30">
        <f>527156</f>
        <v>527156</v>
      </c>
      <c r="V242" s="30">
        <f>19655902276</f>
        <v>19655902276</v>
      </c>
      <c r="W242" s="30">
        <f>961372252</f>
        <v>961372252</v>
      </c>
      <c r="X242" s="34">
        <f>21</f>
        <v>21</v>
      </c>
    </row>
    <row r="243" spans="1:24">
      <c r="A243" s="25" t="s">
        <v>1144</v>
      </c>
      <c r="B243" s="25" t="s">
        <v>940</v>
      </c>
      <c r="C243" s="25" t="s">
        <v>941</v>
      </c>
      <c r="D243" s="25" t="s">
        <v>942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782.6</f>
        <v>782.6</v>
      </c>
      <c r="L243" s="32" t="s">
        <v>1116</v>
      </c>
      <c r="M243" s="31">
        <f>793.8</f>
        <v>793.8</v>
      </c>
      <c r="N243" s="32" t="s">
        <v>759</v>
      </c>
      <c r="O243" s="31">
        <f>759.1</f>
        <v>759.1</v>
      </c>
      <c r="P243" s="32" t="s">
        <v>683</v>
      </c>
      <c r="Q243" s="31">
        <f>771.7</f>
        <v>771.7</v>
      </c>
      <c r="R243" s="32" t="s">
        <v>777</v>
      </c>
      <c r="S243" s="33">
        <f>775.87</f>
        <v>775.87</v>
      </c>
      <c r="T243" s="30">
        <f>132730</f>
        <v>132730</v>
      </c>
      <c r="U243" s="30" t="str">
        <f>"－"</f>
        <v>－</v>
      </c>
      <c r="V243" s="30">
        <f>103520006</f>
        <v>103520006</v>
      </c>
      <c r="W243" s="30" t="str">
        <f>"－"</f>
        <v>－</v>
      </c>
      <c r="X243" s="34">
        <f>19</f>
        <v>19</v>
      </c>
    </row>
    <row r="244" spans="1:24">
      <c r="A244" s="25" t="s">
        <v>1144</v>
      </c>
      <c r="B244" s="25" t="s">
        <v>943</v>
      </c>
      <c r="C244" s="25" t="s">
        <v>944</v>
      </c>
      <c r="D244" s="25" t="s">
        <v>945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783.5</f>
        <v>783.5</v>
      </c>
      <c r="L244" s="32" t="s">
        <v>1145</v>
      </c>
      <c r="M244" s="31">
        <f>794.3</f>
        <v>794.3</v>
      </c>
      <c r="N244" s="32" t="s">
        <v>677</v>
      </c>
      <c r="O244" s="31">
        <f>770.4</f>
        <v>770.4</v>
      </c>
      <c r="P244" s="32" t="s">
        <v>676</v>
      </c>
      <c r="Q244" s="31">
        <f>770.4</f>
        <v>770.4</v>
      </c>
      <c r="R244" s="32" t="s">
        <v>676</v>
      </c>
      <c r="S244" s="33">
        <f>780.27</f>
        <v>780.27</v>
      </c>
      <c r="T244" s="30">
        <f>51340</f>
        <v>51340</v>
      </c>
      <c r="U244" s="30" t="str">
        <f>"－"</f>
        <v>－</v>
      </c>
      <c r="V244" s="30">
        <f>39953742</f>
        <v>39953742</v>
      </c>
      <c r="W244" s="30" t="str">
        <f>"－"</f>
        <v>－</v>
      </c>
      <c r="X244" s="34">
        <f>12</f>
        <v>12</v>
      </c>
    </row>
    <row r="245" spans="1:24">
      <c r="A245" s="25" t="s">
        <v>1144</v>
      </c>
      <c r="B245" s="25" t="s">
        <v>952</v>
      </c>
      <c r="C245" s="25" t="s">
        <v>953</v>
      </c>
      <c r="D245" s="25" t="s">
        <v>954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</v>
      </c>
      <c r="K245" s="31">
        <f>14995</f>
        <v>14995</v>
      </c>
      <c r="L245" s="32" t="s">
        <v>1110</v>
      </c>
      <c r="M245" s="31">
        <f>15080</f>
        <v>15080</v>
      </c>
      <c r="N245" s="32" t="s">
        <v>777</v>
      </c>
      <c r="O245" s="31">
        <f>14220</f>
        <v>14220</v>
      </c>
      <c r="P245" s="32" t="s">
        <v>680</v>
      </c>
      <c r="Q245" s="31">
        <f>15010</f>
        <v>15010</v>
      </c>
      <c r="R245" s="32" t="s">
        <v>777</v>
      </c>
      <c r="S245" s="33">
        <f>14753.57</f>
        <v>14753.57</v>
      </c>
      <c r="T245" s="30">
        <f>143985</f>
        <v>143985</v>
      </c>
      <c r="U245" s="30">
        <f>21000</f>
        <v>21000</v>
      </c>
      <c r="V245" s="30">
        <f>2131202105</f>
        <v>2131202105</v>
      </c>
      <c r="W245" s="30">
        <f>308532000</f>
        <v>308532000</v>
      </c>
      <c r="X245" s="34">
        <f>21</f>
        <v>21</v>
      </c>
    </row>
    <row r="246" spans="1:24">
      <c r="A246" s="25" t="s">
        <v>1144</v>
      </c>
      <c r="B246" s="25" t="s">
        <v>955</v>
      </c>
      <c r="C246" s="25" t="s">
        <v>956</v>
      </c>
      <c r="D246" s="25" t="s">
        <v>957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42040</f>
        <v>42040</v>
      </c>
      <c r="L246" s="32" t="s">
        <v>1110</v>
      </c>
      <c r="M246" s="31">
        <f>42040</f>
        <v>42040</v>
      </c>
      <c r="N246" s="32" t="s">
        <v>1110</v>
      </c>
      <c r="O246" s="31">
        <f>39200</f>
        <v>39200</v>
      </c>
      <c r="P246" s="32" t="s">
        <v>680</v>
      </c>
      <c r="Q246" s="31">
        <f>40570</f>
        <v>40570</v>
      </c>
      <c r="R246" s="32" t="s">
        <v>777</v>
      </c>
      <c r="S246" s="33">
        <f>40862.11</f>
        <v>40862.11</v>
      </c>
      <c r="T246" s="30">
        <f>4180</f>
        <v>4180</v>
      </c>
      <c r="U246" s="30" t="str">
        <f>"－"</f>
        <v>－</v>
      </c>
      <c r="V246" s="30">
        <f>171257310</f>
        <v>171257310</v>
      </c>
      <c r="W246" s="30" t="str">
        <f>"－"</f>
        <v>－</v>
      </c>
      <c r="X246" s="34">
        <f>19</f>
        <v>19</v>
      </c>
    </row>
    <row r="247" spans="1:24">
      <c r="A247" s="25" t="s">
        <v>1144</v>
      </c>
      <c r="B247" s="25" t="s">
        <v>958</v>
      </c>
      <c r="C247" s="25" t="s">
        <v>959</v>
      </c>
      <c r="D247" s="25" t="s">
        <v>960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</v>
      </c>
      <c r="K247" s="31">
        <f>20795</f>
        <v>20795</v>
      </c>
      <c r="L247" s="32" t="s">
        <v>1110</v>
      </c>
      <c r="M247" s="31">
        <f>23860</f>
        <v>23860</v>
      </c>
      <c r="N247" s="32" t="s">
        <v>680</v>
      </c>
      <c r="O247" s="31">
        <f>20715</f>
        <v>20715</v>
      </c>
      <c r="P247" s="32" t="s">
        <v>1110</v>
      </c>
      <c r="Q247" s="31">
        <f>22250</f>
        <v>22250</v>
      </c>
      <c r="R247" s="32" t="s">
        <v>777</v>
      </c>
      <c r="S247" s="33">
        <f>22070</f>
        <v>22070</v>
      </c>
      <c r="T247" s="30">
        <f>82813</f>
        <v>82813</v>
      </c>
      <c r="U247" s="30">
        <f>2</f>
        <v>2</v>
      </c>
      <c r="V247" s="30">
        <f>1871271875</f>
        <v>1871271875</v>
      </c>
      <c r="W247" s="30">
        <f>45690</f>
        <v>45690</v>
      </c>
      <c r="X247" s="34">
        <f>21</f>
        <v>21</v>
      </c>
    </row>
    <row r="248" spans="1:24">
      <c r="A248" s="25" t="s">
        <v>1144</v>
      </c>
      <c r="B248" s="25" t="s">
        <v>961</v>
      </c>
      <c r="C248" s="25" t="s">
        <v>962</v>
      </c>
      <c r="D248" s="25" t="s">
        <v>963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243.2</f>
        <v>243.2</v>
      </c>
      <c r="L248" s="32" t="s">
        <v>1110</v>
      </c>
      <c r="M248" s="31">
        <f>243.2</f>
        <v>243.2</v>
      </c>
      <c r="N248" s="32" t="s">
        <v>1110</v>
      </c>
      <c r="O248" s="31">
        <f>224.7</f>
        <v>224.7</v>
      </c>
      <c r="P248" s="32" t="s">
        <v>680</v>
      </c>
      <c r="Q248" s="31">
        <f>234</f>
        <v>234</v>
      </c>
      <c r="R248" s="32" t="s">
        <v>777</v>
      </c>
      <c r="S248" s="33">
        <f>233.8</f>
        <v>233.8</v>
      </c>
      <c r="T248" s="30">
        <f>1141650</f>
        <v>1141650</v>
      </c>
      <c r="U248" s="30" t="str">
        <f>"－"</f>
        <v>－</v>
      </c>
      <c r="V248" s="30">
        <f>269377360</f>
        <v>269377360</v>
      </c>
      <c r="W248" s="30" t="str">
        <f>"－"</f>
        <v>－</v>
      </c>
      <c r="X248" s="34">
        <f>21</f>
        <v>21</v>
      </c>
    </row>
    <row r="249" spans="1:24">
      <c r="A249" s="25" t="s">
        <v>1144</v>
      </c>
      <c r="B249" s="25" t="s">
        <v>964</v>
      </c>
      <c r="C249" s="25" t="s">
        <v>965</v>
      </c>
      <c r="D249" s="25" t="s">
        <v>966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754.6</f>
        <v>754.6</v>
      </c>
      <c r="L249" s="32" t="s">
        <v>1110</v>
      </c>
      <c r="M249" s="31">
        <f>795</f>
        <v>795</v>
      </c>
      <c r="N249" s="32" t="s">
        <v>874</v>
      </c>
      <c r="O249" s="31">
        <f>750</f>
        <v>750</v>
      </c>
      <c r="P249" s="32" t="s">
        <v>1145</v>
      </c>
      <c r="Q249" s="31">
        <f>764</f>
        <v>764</v>
      </c>
      <c r="R249" s="32" t="s">
        <v>777</v>
      </c>
      <c r="S249" s="33">
        <f>761.94</f>
        <v>761.94</v>
      </c>
      <c r="T249" s="30">
        <f>8408480</f>
        <v>8408480</v>
      </c>
      <c r="U249" s="30">
        <f>8000000</f>
        <v>8000000</v>
      </c>
      <c r="V249" s="30">
        <f>6474631925</f>
        <v>6474631925</v>
      </c>
      <c r="W249" s="30">
        <f>6163600000</f>
        <v>6163600000</v>
      </c>
      <c r="X249" s="34">
        <f>21</f>
        <v>21</v>
      </c>
    </row>
    <row r="250" spans="1:24">
      <c r="A250" s="25" t="s">
        <v>1144</v>
      </c>
      <c r="B250" s="25" t="s">
        <v>982</v>
      </c>
      <c r="C250" s="25" t="s">
        <v>983</v>
      </c>
      <c r="D250" s="25" t="s">
        <v>984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</v>
      </c>
      <c r="K250" s="31">
        <f>1222</f>
        <v>1222</v>
      </c>
      <c r="L250" s="32" t="s">
        <v>1110</v>
      </c>
      <c r="M250" s="31">
        <f>1222</f>
        <v>1222</v>
      </c>
      <c r="N250" s="32" t="s">
        <v>1110</v>
      </c>
      <c r="O250" s="31">
        <f>1101</f>
        <v>1101</v>
      </c>
      <c r="P250" s="32" t="s">
        <v>680</v>
      </c>
      <c r="Q250" s="31">
        <f>1178</f>
        <v>1178</v>
      </c>
      <c r="R250" s="32" t="s">
        <v>777</v>
      </c>
      <c r="S250" s="33">
        <f>1163</f>
        <v>1163</v>
      </c>
      <c r="T250" s="30">
        <f>265652</f>
        <v>265652</v>
      </c>
      <c r="U250" s="30" t="str">
        <f>"－"</f>
        <v>－</v>
      </c>
      <c r="V250" s="30">
        <f>304753812</f>
        <v>304753812</v>
      </c>
      <c r="W250" s="30" t="str">
        <f>"－"</f>
        <v>－</v>
      </c>
      <c r="X250" s="34">
        <f>21</f>
        <v>21</v>
      </c>
    </row>
    <row r="251" spans="1:24">
      <c r="A251" s="25" t="s">
        <v>1144</v>
      </c>
      <c r="B251" s="25" t="s">
        <v>985</v>
      </c>
      <c r="C251" s="25" t="s">
        <v>986</v>
      </c>
      <c r="D251" s="25" t="s">
        <v>987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</v>
      </c>
      <c r="K251" s="31">
        <f>1150</f>
        <v>1150</v>
      </c>
      <c r="L251" s="32" t="s">
        <v>1110</v>
      </c>
      <c r="M251" s="31">
        <f>1160</f>
        <v>1160</v>
      </c>
      <c r="N251" s="32" t="s">
        <v>676</v>
      </c>
      <c r="O251" s="31">
        <f>1086</f>
        <v>1086</v>
      </c>
      <c r="P251" s="32" t="s">
        <v>680</v>
      </c>
      <c r="Q251" s="31">
        <f>1160</f>
        <v>1160</v>
      </c>
      <c r="R251" s="32" t="s">
        <v>777</v>
      </c>
      <c r="S251" s="33">
        <f>1121</f>
        <v>1121</v>
      </c>
      <c r="T251" s="30">
        <f>203035</f>
        <v>203035</v>
      </c>
      <c r="U251" s="30" t="str">
        <f>"－"</f>
        <v>－</v>
      </c>
      <c r="V251" s="30">
        <f>226318859</f>
        <v>226318859</v>
      </c>
      <c r="W251" s="30" t="str">
        <f>"－"</f>
        <v>－</v>
      </c>
      <c r="X251" s="34">
        <f>21</f>
        <v>21</v>
      </c>
    </row>
    <row r="252" spans="1:24">
      <c r="A252" s="25" t="s">
        <v>1144</v>
      </c>
      <c r="B252" s="25" t="s">
        <v>988</v>
      </c>
      <c r="C252" s="25" t="s">
        <v>989</v>
      </c>
      <c r="D252" s="25" t="s">
        <v>990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</v>
      </c>
      <c r="K252" s="31">
        <f>801</f>
        <v>801</v>
      </c>
      <c r="L252" s="32" t="s">
        <v>1110</v>
      </c>
      <c r="M252" s="31">
        <f>852</f>
        <v>852</v>
      </c>
      <c r="N252" s="32" t="s">
        <v>777</v>
      </c>
      <c r="O252" s="31">
        <f>772</f>
        <v>772</v>
      </c>
      <c r="P252" s="32" t="s">
        <v>778</v>
      </c>
      <c r="Q252" s="31">
        <f>842</f>
        <v>842</v>
      </c>
      <c r="R252" s="32" t="s">
        <v>777</v>
      </c>
      <c r="S252" s="33">
        <f>810.86</f>
        <v>810.86</v>
      </c>
      <c r="T252" s="30">
        <f>601957</f>
        <v>601957</v>
      </c>
      <c r="U252" s="30" t="str">
        <f>"－"</f>
        <v>－</v>
      </c>
      <c r="V252" s="30">
        <f>489583250</f>
        <v>489583250</v>
      </c>
      <c r="W252" s="30" t="str">
        <f>"－"</f>
        <v>－</v>
      </c>
      <c r="X252" s="34">
        <f>21</f>
        <v>21</v>
      </c>
    </row>
    <row r="253" spans="1:24">
      <c r="A253" s="25" t="s">
        <v>1144</v>
      </c>
      <c r="B253" s="25" t="s">
        <v>1059</v>
      </c>
      <c r="C253" s="25" t="s">
        <v>1060</v>
      </c>
      <c r="D253" s="25" t="s">
        <v>1061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216.8</f>
        <v>216.8</v>
      </c>
      <c r="L253" s="32" t="s">
        <v>1110</v>
      </c>
      <c r="M253" s="31">
        <f>216.8</f>
        <v>216.8</v>
      </c>
      <c r="N253" s="32" t="s">
        <v>1110</v>
      </c>
      <c r="O253" s="31">
        <f>204.9</f>
        <v>204.9</v>
      </c>
      <c r="P253" s="32" t="s">
        <v>682</v>
      </c>
      <c r="Q253" s="31">
        <f>210.1</f>
        <v>210.1</v>
      </c>
      <c r="R253" s="32" t="s">
        <v>777</v>
      </c>
      <c r="S253" s="33">
        <f>208.98</f>
        <v>208.98</v>
      </c>
      <c r="T253" s="30">
        <f>9447650</f>
        <v>9447650</v>
      </c>
      <c r="U253" s="30">
        <f>60</f>
        <v>60</v>
      </c>
      <c r="V253" s="30">
        <f>1977684848</f>
        <v>1977684848</v>
      </c>
      <c r="W253" s="30">
        <f>12546</f>
        <v>12546</v>
      </c>
      <c r="X253" s="34">
        <f>21</f>
        <v>21</v>
      </c>
    </row>
    <row r="254" spans="1:24">
      <c r="A254" s="25" t="s">
        <v>1144</v>
      </c>
      <c r="B254" s="25" t="s">
        <v>1062</v>
      </c>
      <c r="C254" s="25" t="s">
        <v>1063</v>
      </c>
      <c r="D254" s="25" t="s">
        <v>1064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210.6</f>
        <v>210.6</v>
      </c>
      <c r="L254" s="32" t="s">
        <v>1110</v>
      </c>
      <c r="M254" s="31">
        <f>212.1</f>
        <v>212.1</v>
      </c>
      <c r="N254" s="32" t="s">
        <v>777</v>
      </c>
      <c r="O254" s="31">
        <f>206.3</f>
        <v>206.3</v>
      </c>
      <c r="P254" s="32" t="s">
        <v>684</v>
      </c>
      <c r="Q254" s="31">
        <f>211.8</f>
        <v>211.8</v>
      </c>
      <c r="R254" s="32" t="s">
        <v>777</v>
      </c>
      <c r="S254" s="33">
        <f>208.72</f>
        <v>208.72</v>
      </c>
      <c r="T254" s="30">
        <f>1047540</f>
        <v>1047540</v>
      </c>
      <c r="U254" s="30" t="str">
        <f>"－"</f>
        <v>－</v>
      </c>
      <c r="V254" s="30">
        <f>218485534</f>
        <v>218485534</v>
      </c>
      <c r="W254" s="30" t="str">
        <f>"－"</f>
        <v>－</v>
      </c>
      <c r="X254" s="34">
        <f>21</f>
        <v>21</v>
      </c>
    </row>
    <row r="255" spans="1:24">
      <c r="A255" s="25" t="s">
        <v>1144</v>
      </c>
      <c r="B255" s="25" t="s">
        <v>1065</v>
      </c>
      <c r="C255" s="25" t="s">
        <v>1066</v>
      </c>
      <c r="D255" s="25" t="s">
        <v>1067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212</f>
        <v>212</v>
      </c>
      <c r="L255" s="32" t="s">
        <v>1110</v>
      </c>
      <c r="M255" s="31">
        <f>218.6</f>
        <v>218.6</v>
      </c>
      <c r="N255" s="32" t="s">
        <v>676</v>
      </c>
      <c r="O255" s="31">
        <f>208.1</f>
        <v>208.1</v>
      </c>
      <c r="P255" s="32" t="s">
        <v>684</v>
      </c>
      <c r="Q255" s="31">
        <f>213.5</f>
        <v>213.5</v>
      </c>
      <c r="R255" s="32" t="s">
        <v>777</v>
      </c>
      <c r="S255" s="33">
        <f>210.09</f>
        <v>210.09</v>
      </c>
      <c r="T255" s="30">
        <f>505140</f>
        <v>505140</v>
      </c>
      <c r="U255" s="30">
        <f>1550</f>
        <v>1550</v>
      </c>
      <c r="V255" s="30">
        <f>105928540</f>
        <v>105928540</v>
      </c>
      <c r="W255" s="30">
        <f>306172</f>
        <v>306172</v>
      </c>
      <c r="X255" s="34">
        <f>21</f>
        <v>21</v>
      </c>
    </row>
    <row r="256" spans="1:24">
      <c r="A256" s="25" t="s">
        <v>1144</v>
      </c>
      <c r="B256" s="25" t="s">
        <v>1068</v>
      </c>
      <c r="C256" s="25" t="s">
        <v>1069</v>
      </c>
      <c r="D256" s="25" t="s">
        <v>1070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213.7</f>
        <v>213.7</v>
      </c>
      <c r="L256" s="32" t="s">
        <v>1110</v>
      </c>
      <c r="M256" s="31">
        <f>216.7</f>
        <v>216.7</v>
      </c>
      <c r="N256" s="32" t="s">
        <v>777</v>
      </c>
      <c r="O256" s="31">
        <f>206.3</f>
        <v>206.3</v>
      </c>
      <c r="P256" s="32" t="s">
        <v>678</v>
      </c>
      <c r="Q256" s="31">
        <f>216.2</f>
        <v>216.2</v>
      </c>
      <c r="R256" s="32" t="s">
        <v>777</v>
      </c>
      <c r="S256" s="33">
        <f>211.93</f>
        <v>211.93</v>
      </c>
      <c r="T256" s="30">
        <f>1624130</f>
        <v>1624130</v>
      </c>
      <c r="U256" s="30">
        <f>2500</f>
        <v>2500</v>
      </c>
      <c r="V256" s="30">
        <f>343519007</f>
        <v>343519007</v>
      </c>
      <c r="W256" s="30">
        <f>495847</f>
        <v>495847</v>
      </c>
      <c r="X256" s="34">
        <f>21</f>
        <v>21</v>
      </c>
    </row>
    <row r="257" spans="1:24">
      <c r="A257" s="25" t="s">
        <v>1144</v>
      </c>
      <c r="B257" s="25" t="s">
        <v>1071</v>
      </c>
      <c r="C257" s="25" t="s">
        <v>1072</v>
      </c>
      <c r="D257" s="25" t="s">
        <v>1073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10</v>
      </c>
      <c r="K257" s="31">
        <f>205.9</f>
        <v>205.9</v>
      </c>
      <c r="L257" s="32" t="s">
        <v>1110</v>
      </c>
      <c r="M257" s="31">
        <f>206</f>
        <v>206</v>
      </c>
      <c r="N257" s="32" t="s">
        <v>1116</v>
      </c>
      <c r="O257" s="31">
        <f>198.2</f>
        <v>198.2</v>
      </c>
      <c r="P257" s="32" t="s">
        <v>676</v>
      </c>
      <c r="Q257" s="31">
        <f>200.3</f>
        <v>200.3</v>
      </c>
      <c r="R257" s="32" t="s">
        <v>777</v>
      </c>
      <c r="S257" s="33">
        <f>201.09</f>
        <v>201.09</v>
      </c>
      <c r="T257" s="30">
        <f>7557320</f>
        <v>7557320</v>
      </c>
      <c r="U257" s="30">
        <f>5564040</f>
        <v>5564040</v>
      </c>
      <c r="V257" s="30">
        <f>1523578156</f>
        <v>1523578156</v>
      </c>
      <c r="W257" s="30">
        <f>1119054433</f>
        <v>1119054433</v>
      </c>
      <c r="X257" s="34">
        <f>18</f>
        <v>18</v>
      </c>
    </row>
    <row r="258" spans="1:24">
      <c r="A258" s="25" t="s">
        <v>1144</v>
      </c>
      <c r="B258" s="25" t="s">
        <v>539</v>
      </c>
      <c r="C258" s="25" t="s">
        <v>540</v>
      </c>
      <c r="D258" s="25" t="s">
        <v>541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929.8</f>
        <v>929.8</v>
      </c>
      <c r="L258" s="32" t="s">
        <v>1110</v>
      </c>
      <c r="M258" s="31">
        <f>930.3</f>
        <v>930.3</v>
      </c>
      <c r="N258" s="32" t="s">
        <v>675</v>
      </c>
      <c r="O258" s="31">
        <f>912.1</f>
        <v>912.1</v>
      </c>
      <c r="P258" s="32" t="s">
        <v>676</v>
      </c>
      <c r="Q258" s="31">
        <f>918.3</f>
        <v>918.3</v>
      </c>
      <c r="R258" s="32" t="s">
        <v>777</v>
      </c>
      <c r="S258" s="33">
        <f>920.35</f>
        <v>920.35</v>
      </c>
      <c r="T258" s="30">
        <f>8622680</f>
        <v>8622680</v>
      </c>
      <c r="U258" s="30">
        <f>8002600</f>
        <v>8002600</v>
      </c>
      <c r="V258" s="30">
        <f>7942670114</f>
        <v>7942670114</v>
      </c>
      <c r="W258" s="30">
        <f>7371210530</f>
        <v>7371210530</v>
      </c>
      <c r="X258" s="34">
        <f>21</f>
        <v>21</v>
      </c>
    </row>
    <row r="259" spans="1:24">
      <c r="A259" s="25" t="s">
        <v>1144</v>
      </c>
      <c r="B259" s="25" t="s">
        <v>542</v>
      </c>
      <c r="C259" s="25" t="s">
        <v>543</v>
      </c>
      <c r="D259" s="25" t="s">
        <v>544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1086.5</f>
        <v>1086.5</v>
      </c>
      <c r="L259" s="32" t="s">
        <v>1110</v>
      </c>
      <c r="M259" s="31">
        <f>1105</f>
        <v>1105</v>
      </c>
      <c r="N259" s="32" t="s">
        <v>777</v>
      </c>
      <c r="O259" s="31">
        <f>1075</f>
        <v>1075</v>
      </c>
      <c r="P259" s="32" t="s">
        <v>1145</v>
      </c>
      <c r="Q259" s="31">
        <f>1104</f>
        <v>1104</v>
      </c>
      <c r="R259" s="32" t="s">
        <v>777</v>
      </c>
      <c r="S259" s="33">
        <f>1084.64</f>
        <v>1084.6400000000001</v>
      </c>
      <c r="T259" s="30">
        <f>5506830</f>
        <v>5506830</v>
      </c>
      <c r="U259" s="30">
        <f>4370160</f>
        <v>4370160</v>
      </c>
      <c r="V259" s="30">
        <f>5963928256</f>
        <v>5963928256</v>
      </c>
      <c r="W259" s="30">
        <f>4729538566</f>
        <v>4729538566</v>
      </c>
      <c r="X259" s="34">
        <f>21</f>
        <v>21</v>
      </c>
    </row>
    <row r="260" spans="1:24">
      <c r="A260" s="25" t="s">
        <v>1144</v>
      </c>
      <c r="B260" s="25" t="s">
        <v>545</v>
      </c>
      <c r="C260" s="25" t="s">
        <v>546</v>
      </c>
      <c r="D260" s="25" t="s">
        <v>547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793</f>
        <v>793</v>
      </c>
      <c r="L260" s="32" t="s">
        <v>1110</v>
      </c>
      <c r="M260" s="31">
        <f>793</f>
        <v>793</v>
      </c>
      <c r="N260" s="32" t="s">
        <v>1110</v>
      </c>
      <c r="O260" s="31">
        <f>767.9</f>
        <v>767.9</v>
      </c>
      <c r="P260" s="32" t="s">
        <v>676</v>
      </c>
      <c r="Q260" s="31">
        <f>774.1</f>
        <v>774.1</v>
      </c>
      <c r="R260" s="32" t="s">
        <v>777</v>
      </c>
      <c r="S260" s="33">
        <f>778.43</f>
        <v>778.43</v>
      </c>
      <c r="T260" s="30">
        <f>14996510</f>
        <v>14996510</v>
      </c>
      <c r="U260" s="30">
        <f>14143560</f>
        <v>14143560</v>
      </c>
      <c r="V260" s="30">
        <f>11649243215</f>
        <v>11649243215</v>
      </c>
      <c r="W260" s="30">
        <f>10989103493</f>
        <v>10989103493</v>
      </c>
      <c r="X260" s="34">
        <f>21</f>
        <v>21</v>
      </c>
    </row>
    <row r="261" spans="1:24">
      <c r="A261" s="25" t="s">
        <v>1144</v>
      </c>
      <c r="B261" s="25" t="s">
        <v>548</v>
      </c>
      <c r="C261" s="25" t="s">
        <v>549</v>
      </c>
      <c r="D261" s="25" t="s">
        <v>550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2375</f>
        <v>2375</v>
      </c>
      <c r="L261" s="32" t="s">
        <v>1110</v>
      </c>
      <c r="M261" s="31">
        <f>2401.5</f>
        <v>2401.5</v>
      </c>
      <c r="N261" s="32" t="s">
        <v>777</v>
      </c>
      <c r="O261" s="31">
        <f>2259</f>
        <v>2259</v>
      </c>
      <c r="P261" s="32" t="s">
        <v>680</v>
      </c>
      <c r="Q261" s="31">
        <f>2399</f>
        <v>2399</v>
      </c>
      <c r="R261" s="32" t="s">
        <v>777</v>
      </c>
      <c r="S261" s="33">
        <f>2351.48</f>
        <v>2351.48</v>
      </c>
      <c r="T261" s="30">
        <f>1388020</f>
        <v>1388020</v>
      </c>
      <c r="U261" s="30">
        <f>1032100</f>
        <v>1032100</v>
      </c>
      <c r="V261" s="30">
        <f>3266394510</f>
        <v>3266394510</v>
      </c>
      <c r="W261" s="30">
        <f>2432391180</f>
        <v>2432391180</v>
      </c>
      <c r="X261" s="34">
        <f>21</f>
        <v>21</v>
      </c>
    </row>
    <row r="262" spans="1:24">
      <c r="A262" s="25" t="s">
        <v>1144</v>
      </c>
      <c r="B262" s="25" t="s">
        <v>551</v>
      </c>
      <c r="C262" s="25" t="s">
        <v>552</v>
      </c>
      <c r="D262" s="25" t="s">
        <v>553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1574.5</f>
        <v>1574.5</v>
      </c>
      <c r="L262" s="32" t="s">
        <v>1110</v>
      </c>
      <c r="M262" s="31">
        <f>1574.5</f>
        <v>1574.5</v>
      </c>
      <c r="N262" s="32" t="s">
        <v>1110</v>
      </c>
      <c r="O262" s="31">
        <f>1473.5</f>
        <v>1473.5</v>
      </c>
      <c r="P262" s="32" t="s">
        <v>680</v>
      </c>
      <c r="Q262" s="31">
        <f>1524</f>
        <v>1524</v>
      </c>
      <c r="R262" s="32" t="s">
        <v>777</v>
      </c>
      <c r="S262" s="33">
        <f>1529.71</f>
        <v>1529.71</v>
      </c>
      <c r="T262" s="30">
        <f>1283120</f>
        <v>1283120</v>
      </c>
      <c r="U262" s="30">
        <f>821600</f>
        <v>821600</v>
      </c>
      <c r="V262" s="30">
        <f>1971176291</f>
        <v>1971176291</v>
      </c>
      <c r="W262" s="30">
        <f>1262668491</f>
        <v>1262668491</v>
      </c>
      <c r="X262" s="34">
        <f>21</f>
        <v>21</v>
      </c>
    </row>
    <row r="263" spans="1:24">
      <c r="A263" s="25" t="s">
        <v>1144</v>
      </c>
      <c r="B263" s="25" t="s">
        <v>554</v>
      </c>
      <c r="C263" s="25" t="s">
        <v>555</v>
      </c>
      <c r="D263" s="25" t="s">
        <v>556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1367</f>
        <v>1367</v>
      </c>
      <c r="L263" s="32" t="s">
        <v>1110</v>
      </c>
      <c r="M263" s="31">
        <f>1367</f>
        <v>1367</v>
      </c>
      <c r="N263" s="32" t="s">
        <v>1110</v>
      </c>
      <c r="O263" s="31">
        <f>1250</f>
        <v>1250</v>
      </c>
      <c r="P263" s="32" t="s">
        <v>680</v>
      </c>
      <c r="Q263" s="31">
        <f>1328.5</f>
        <v>1328.5</v>
      </c>
      <c r="R263" s="32" t="s">
        <v>777</v>
      </c>
      <c r="S263" s="33">
        <f>1316.81</f>
        <v>1316.81</v>
      </c>
      <c r="T263" s="30">
        <f>1484460</f>
        <v>1484460</v>
      </c>
      <c r="U263" s="30">
        <f>979190</f>
        <v>979190</v>
      </c>
      <c r="V263" s="30">
        <f>1913378653</f>
        <v>1913378653</v>
      </c>
      <c r="W263" s="30">
        <f>1251251663</f>
        <v>1251251663</v>
      </c>
      <c r="X263" s="34">
        <f>21</f>
        <v>21</v>
      </c>
    </row>
    <row r="264" spans="1:24">
      <c r="A264" s="25" t="s">
        <v>1144</v>
      </c>
      <c r="B264" s="25" t="s">
        <v>557</v>
      </c>
      <c r="C264" s="25" t="s">
        <v>1074</v>
      </c>
      <c r="D264" s="25" t="s">
        <v>1075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10</v>
      </c>
      <c r="K264" s="31">
        <f>580.8</f>
        <v>580.79999999999995</v>
      </c>
      <c r="L264" s="32" t="s">
        <v>1110</v>
      </c>
      <c r="M264" s="31">
        <f>583</f>
        <v>583</v>
      </c>
      <c r="N264" s="32" t="s">
        <v>1110</v>
      </c>
      <c r="O264" s="31">
        <f>490.3</f>
        <v>490.3</v>
      </c>
      <c r="P264" s="32" t="s">
        <v>680</v>
      </c>
      <c r="Q264" s="31">
        <f>505</f>
        <v>505</v>
      </c>
      <c r="R264" s="32" t="s">
        <v>777</v>
      </c>
      <c r="S264" s="33">
        <f>526.52</f>
        <v>526.52</v>
      </c>
      <c r="T264" s="30">
        <f>36666110</f>
        <v>36666110</v>
      </c>
      <c r="U264" s="30">
        <f>2005930</f>
        <v>2005930</v>
      </c>
      <c r="V264" s="30">
        <f>19329674846</f>
        <v>19329674846</v>
      </c>
      <c r="W264" s="30">
        <f>1044642175</f>
        <v>1044642175</v>
      </c>
      <c r="X264" s="34">
        <f>21</f>
        <v>21</v>
      </c>
    </row>
    <row r="265" spans="1:24">
      <c r="A265" s="25" t="s">
        <v>1144</v>
      </c>
      <c r="B265" s="25" t="s">
        <v>558</v>
      </c>
      <c r="C265" s="25" t="s">
        <v>559</v>
      </c>
      <c r="D265" s="25" t="s">
        <v>560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1092.5</f>
        <v>1092.5</v>
      </c>
      <c r="L265" s="32" t="s">
        <v>1110</v>
      </c>
      <c r="M265" s="31">
        <f>1102.5</f>
        <v>1102.5</v>
      </c>
      <c r="N265" s="32" t="s">
        <v>777</v>
      </c>
      <c r="O265" s="31">
        <f>1058.5</f>
        <v>1058.5</v>
      </c>
      <c r="P265" s="32" t="s">
        <v>674</v>
      </c>
      <c r="Q265" s="31">
        <f>1100</f>
        <v>1100</v>
      </c>
      <c r="R265" s="32" t="s">
        <v>777</v>
      </c>
      <c r="S265" s="33">
        <f>1083.14</f>
        <v>1083.1400000000001</v>
      </c>
      <c r="T265" s="30">
        <f>6379070</f>
        <v>6379070</v>
      </c>
      <c r="U265" s="30">
        <f>4847860</f>
        <v>4847860</v>
      </c>
      <c r="V265" s="30">
        <f>6878838181</f>
        <v>6878838181</v>
      </c>
      <c r="W265" s="30">
        <f>5223588576</f>
        <v>5223588576</v>
      </c>
      <c r="X265" s="34">
        <f>21</f>
        <v>21</v>
      </c>
    </row>
    <row r="266" spans="1:24">
      <c r="A266" s="25" t="s">
        <v>1144</v>
      </c>
      <c r="B266" s="25" t="s">
        <v>561</v>
      </c>
      <c r="C266" s="25" t="s">
        <v>562</v>
      </c>
      <c r="D266" s="25" t="s">
        <v>563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</v>
      </c>
      <c r="K266" s="31">
        <f>1566</f>
        <v>1566</v>
      </c>
      <c r="L266" s="32" t="s">
        <v>1110</v>
      </c>
      <c r="M266" s="31">
        <f>1566</f>
        <v>1566</v>
      </c>
      <c r="N266" s="32" t="s">
        <v>1110</v>
      </c>
      <c r="O266" s="31">
        <f>1450</f>
        <v>1450</v>
      </c>
      <c r="P266" s="32" t="s">
        <v>680</v>
      </c>
      <c r="Q266" s="31">
        <f>1524</f>
        <v>1524</v>
      </c>
      <c r="R266" s="32" t="s">
        <v>777</v>
      </c>
      <c r="S266" s="33">
        <f>1518.9</f>
        <v>1518.9</v>
      </c>
      <c r="T266" s="30">
        <f>21442</f>
        <v>21442</v>
      </c>
      <c r="U266" s="30" t="str">
        <f>"－"</f>
        <v>－</v>
      </c>
      <c r="V266" s="30">
        <f>32391968</f>
        <v>32391968</v>
      </c>
      <c r="W266" s="30" t="str">
        <f>"－"</f>
        <v>－</v>
      </c>
      <c r="X266" s="34">
        <f>21</f>
        <v>21</v>
      </c>
    </row>
    <row r="267" spans="1:24">
      <c r="A267" s="25" t="s">
        <v>1144</v>
      </c>
      <c r="B267" s="25" t="s">
        <v>564</v>
      </c>
      <c r="C267" s="25" t="s">
        <v>565</v>
      </c>
      <c r="D267" s="25" t="s">
        <v>566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1050</f>
        <v>1050</v>
      </c>
      <c r="L267" s="32" t="s">
        <v>1110</v>
      </c>
      <c r="M267" s="31">
        <f>1073.5</f>
        <v>1073.5</v>
      </c>
      <c r="N267" s="32" t="s">
        <v>777</v>
      </c>
      <c r="O267" s="31">
        <f>1038.5</f>
        <v>1038.5</v>
      </c>
      <c r="P267" s="32" t="s">
        <v>682</v>
      </c>
      <c r="Q267" s="31">
        <f>1071</f>
        <v>1071</v>
      </c>
      <c r="R267" s="32" t="s">
        <v>777</v>
      </c>
      <c r="S267" s="33">
        <f>1050.07</f>
        <v>1050.07</v>
      </c>
      <c r="T267" s="30">
        <f>70820</f>
        <v>70820</v>
      </c>
      <c r="U267" s="30">
        <f>960</f>
        <v>960</v>
      </c>
      <c r="V267" s="30">
        <f>74278070</f>
        <v>74278070</v>
      </c>
      <c r="W267" s="30">
        <f>1002735</f>
        <v>1002735</v>
      </c>
      <c r="X267" s="34">
        <f>21</f>
        <v>21</v>
      </c>
    </row>
    <row r="268" spans="1:24">
      <c r="A268" s="25" t="s">
        <v>1144</v>
      </c>
      <c r="B268" s="25" t="s">
        <v>567</v>
      </c>
      <c r="C268" s="25" t="s">
        <v>568</v>
      </c>
      <c r="D268" s="25" t="s">
        <v>569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10</v>
      </c>
      <c r="K268" s="31">
        <f>1389.5</f>
        <v>1389.5</v>
      </c>
      <c r="L268" s="32" t="s">
        <v>1110</v>
      </c>
      <c r="M268" s="31">
        <f>1450</f>
        <v>1450</v>
      </c>
      <c r="N268" s="32" t="s">
        <v>1113</v>
      </c>
      <c r="O268" s="31">
        <f>1330</f>
        <v>1330</v>
      </c>
      <c r="P268" s="32" t="s">
        <v>680</v>
      </c>
      <c r="Q268" s="31">
        <f>1441.5</f>
        <v>1441.5</v>
      </c>
      <c r="R268" s="32" t="s">
        <v>777</v>
      </c>
      <c r="S268" s="33">
        <f>1383.38</f>
        <v>1383.38</v>
      </c>
      <c r="T268" s="30">
        <f>146990</f>
        <v>146990</v>
      </c>
      <c r="U268" s="30" t="str">
        <f>"－"</f>
        <v>－</v>
      </c>
      <c r="V268" s="30">
        <f>203542735</f>
        <v>203542735</v>
      </c>
      <c r="W268" s="30" t="str">
        <f>"－"</f>
        <v>－</v>
      </c>
      <c r="X268" s="34">
        <f>21</f>
        <v>21</v>
      </c>
    </row>
    <row r="269" spans="1:24">
      <c r="A269" s="25" t="s">
        <v>1144</v>
      </c>
      <c r="B269" s="25" t="s">
        <v>570</v>
      </c>
      <c r="C269" s="25" t="s">
        <v>571</v>
      </c>
      <c r="D269" s="25" t="s">
        <v>572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1651</f>
        <v>1651</v>
      </c>
      <c r="L269" s="32" t="s">
        <v>1110</v>
      </c>
      <c r="M269" s="31">
        <f>1651</f>
        <v>1651</v>
      </c>
      <c r="N269" s="32" t="s">
        <v>1110</v>
      </c>
      <c r="O269" s="31">
        <f>1537</f>
        <v>1537</v>
      </c>
      <c r="P269" s="32" t="s">
        <v>680</v>
      </c>
      <c r="Q269" s="31">
        <f>1593</f>
        <v>1593</v>
      </c>
      <c r="R269" s="32" t="s">
        <v>777</v>
      </c>
      <c r="S269" s="33">
        <f>1602.19</f>
        <v>1602.19</v>
      </c>
      <c r="T269" s="30">
        <f>1599570</f>
        <v>1599570</v>
      </c>
      <c r="U269" s="30">
        <f>305910</f>
        <v>305910</v>
      </c>
      <c r="V269" s="30">
        <f>2568690547</f>
        <v>2568690547</v>
      </c>
      <c r="W269" s="30">
        <f>495813157</f>
        <v>495813157</v>
      </c>
      <c r="X269" s="34">
        <f>21</f>
        <v>21</v>
      </c>
    </row>
    <row r="270" spans="1:24">
      <c r="A270" s="25" t="s">
        <v>1144</v>
      </c>
      <c r="B270" s="25" t="s">
        <v>573</v>
      </c>
      <c r="C270" s="25" t="s">
        <v>574</v>
      </c>
      <c r="D270" s="25" t="s">
        <v>575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</v>
      </c>
      <c r="K270" s="31">
        <f>5540</f>
        <v>5540</v>
      </c>
      <c r="L270" s="32" t="s">
        <v>1110</v>
      </c>
      <c r="M270" s="31">
        <f>5550</f>
        <v>5550</v>
      </c>
      <c r="N270" s="32" t="s">
        <v>1110</v>
      </c>
      <c r="O270" s="31">
        <f>4945</f>
        <v>4945</v>
      </c>
      <c r="P270" s="32" t="s">
        <v>680</v>
      </c>
      <c r="Q270" s="31">
        <f>5280</f>
        <v>5280</v>
      </c>
      <c r="R270" s="32" t="s">
        <v>777</v>
      </c>
      <c r="S270" s="33">
        <f>5274.76</f>
        <v>5274.76</v>
      </c>
      <c r="T270" s="30">
        <f>71083</f>
        <v>71083</v>
      </c>
      <c r="U270" s="30" t="str">
        <f>"－"</f>
        <v>－</v>
      </c>
      <c r="V270" s="30">
        <f>365822410</f>
        <v>365822410</v>
      </c>
      <c r="W270" s="30" t="str">
        <f>"－"</f>
        <v>－</v>
      </c>
      <c r="X270" s="34">
        <f>21</f>
        <v>21</v>
      </c>
    </row>
    <row r="271" spans="1:24">
      <c r="A271" s="25" t="s">
        <v>1144</v>
      </c>
      <c r="B271" s="25" t="s">
        <v>576</v>
      </c>
      <c r="C271" s="25" t="s">
        <v>577</v>
      </c>
      <c r="D271" s="25" t="s">
        <v>578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2275</f>
        <v>2275</v>
      </c>
      <c r="L271" s="32" t="s">
        <v>675</v>
      </c>
      <c r="M271" s="31">
        <f>2379</f>
        <v>2379</v>
      </c>
      <c r="N271" s="32" t="s">
        <v>677</v>
      </c>
      <c r="O271" s="31">
        <f>2253</f>
        <v>2253</v>
      </c>
      <c r="P271" s="32" t="s">
        <v>680</v>
      </c>
      <c r="Q271" s="31">
        <f>2333.5</f>
        <v>2333.5</v>
      </c>
      <c r="R271" s="32" t="s">
        <v>683</v>
      </c>
      <c r="S271" s="33">
        <f>2317.29</f>
        <v>2317.29</v>
      </c>
      <c r="T271" s="30">
        <f>2530</f>
        <v>2530</v>
      </c>
      <c r="U271" s="30" t="str">
        <f>"－"</f>
        <v>－</v>
      </c>
      <c r="V271" s="30">
        <f>5901025</f>
        <v>5901025</v>
      </c>
      <c r="W271" s="30" t="str">
        <f>"－"</f>
        <v>－</v>
      </c>
      <c r="X271" s="34">
        <f>12</f>
        <v>12</v>
      </c>
    </row>
    <row r="272" spans="1:24">
      <c r="A272" s="25" t="s">
        <v>1144</v>
      </c>
      <c r="B272" s="25" t="s">
        <v>579</v>
      </c>
      <c r="C272" s="25" t="s">
        <v>580</v>
      </c>
      <c r="D272" s="25" t="s">
        <v>581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2841.5</f>
        <v>2841.5</v>
      </c>
      <c r="L272" s="32" t="s">
        <v>1110</v>
      </c>
      <c r="M272" s="31">
        <f>2847.5</f>
        <v>2847.5</v>
      </c>
      <c r="N272" s="32" t="s">
        <v>677</v>
      </c>
      <c r="O272" s="31">
        <f>2680</f>
        <v>2680</v>
      </c>
      <c r="P272" s="32" t="s">
        <v>680</v>
      </c>
      <c r="Q272" s="31">
        <f>2810.5</f>
        <v>2810.5</v>
      </c>
      <c r="R272" s="32" t="s">
        <v>777</v>
      </c>
      <c r="S272" s="33">
        <f>2787.81</f>
        <v>2787.81</v>
      </c>
      <c r="T272" s="30">
        <f>971480</f>
        <v>971480</v>
      </c>
      <c r="U272" s="30">
        <f>522260</f>
        <v>522260</v>
      </c>
      <c r="V272" s="30">
        <f>2710047463</f>
        <v>2710047463</v>
      </c>
      <c r="W272" s="30">
        <f>1463231938</f>
        <v>1463231938</v>
      </c>
      <c r="X272" s="34">
        <f>21</f>
        <v>21</v>
      </c>
    </row>
    <row r="273" spans="1:24">
      <c r="A273" s="25" t="s">
        <v>1144</v>
      </c>
      <c r="B273" s="25" t="s">
        <v>582</v>
      </c>
      <c r="C273" s="25" t="s">
        <v>583</v>
      </c>
      <c r="D273" s="25" t="s">
        <v>584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</v>
      </c>
      <c r="K273" s="31">
        <f>41430</f>
        <v>41430</v>
      </c>
      <c r="L273" s="32" t="s">
        <v>1110</v>
      </c>
      <c r="M273" s="31">
        <f>41430</f>
        <v>41430</v>
      </c>
      <c r="N273" s="32" t="s">
        <v>1110</v>
      </c>
      <c r="O273" s="31">
        <f>37440</f>
        <v>37440</v>
      </c>
      <c r="P273" s="32" t="s">
        <v>680</v>
      </c>
      <c r="Q273" s="31">
        <f>39070</f>
        <v>39070</v>
      </c>
      <c r="R273" s="32" t="s">
        <v>777</v>
      </c>
      <c r="S273" s="33">
        <f>39449.52</f>
        <v>39449.519999999997</v>
      </c>
      <c r="T273" s="30">
        <f>259962</f>
        <v>259962</v>
      </c>
      <c r="U273" s="30">
        <f>205195</f>
        <v>205195</v>
      </c>
      <c r="V273" s="30">
        <f>10278011972</f>
        <v>10278011972</v>
      </c>
      <c r="W273" s="30">
        <f>8120072762</f>
        <v>8120072762</v>
      </c>
      <c r="X273" s="34">
        <f>21</f>
        <v>21</v>
      </c>
    </row>
    <row r="274" spans="1:24">
      <c r="A274" s="25" t="s">
        <v>1144</v>
      </c>
      <c r="B274" s="25" t="s">
        <v>585</v>
      </c>
      <c r="C274" s="25" t="s">
        <v>586</v>
      </c>
      <c r="D274" s="25" t="s">
        <v>587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</v>
      </c>
      <c r="K274" s="31">
        <f>25510</f>
        <v>25510</v>
      </c>
      <c r="L274" s="32" t="s">
        <v>1145</v>
      </c>
      <c r="M274" s="31">
        <f>25865</f>
        <v>25865</v>
      </c>
      <c r="N274" s="32" t="s">
        <v>777</v>
      </c>
      <c r="O274" s="31">
        <f>24155</f>
        <v>24155</v>
      </c>
      <c r="P274" s="32" t="s">
        <v>680</v>
      </c>
      <c r="Q274" s="31">
        <f>25365</f>
        <v>25365</v>
      </c>
      <c r="R274" s="32" t="s">
        <v>777</v>
      </c>
      <c r="S274" s="33">
        <f>25183.5</f>
        <v>25183.5</v>
      </c>
      <c r="T274" s="30">
        <f>17863</f>
        <v>17863</v>
      </c>
      <c r="U274" s="30">
        <f>17610</f>
        <v>17610</v>
      </c>
      <c r="V274" s="30">
        <f>443850587</f>
        <v>443850587</v>
      </c>
      <c r="W274" s="30">
        <f>437541582</f>
        <v>437541582</v>
      </c>
      <c r="X274" s="34">
        <f>10</f>
        <v>10</v>
      </c>
    </row>
    <row r="275" spans="1:24">
      <c r="A275" s="25" t="s">
        <v>1144</v>
      </c>
      <c r="B275" s="25" t="s">
        <v>588</v>
      </c>
      <c r="C275" s="25" t="s">
        <v>589</v>
      </c>
      <c r="D275" s="25" t="s">
        <v>590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1081.5</f>
        <v>1081.5</v>
      </c>
      <c r="L275" s="32" t="s">
        <v>1116</v>
      </c>
      <c r="M275" s="31">
        <f>1109</f>
        <v>1109</v>
      </c>
      <c r="N275" s="32" t="s">
        <v>874</v>
      </c>
      <c r="O275" s="31">
        <f>1064</f>
        <v>1064</v>
      </c>
      <c r="P275" s="32" t="s">
        <v>1145</v>
      </c>
      <c r="Q275" s="31">
        <f>1094</f>
        <v>1094</v>
      </c>
      <c r="R275" s="32" t="s">
        <v>676</v>
      </c>
      <c r="S275" s="33">
        <f>1085.82</f>
        <v>1085.82</v>
      </c>
      <c r="T275" s="30">
        <f>431870</f>
        <v>431870</v>
      </c>
      <c r="U275" s="30">
        <f>300000</f>
        <v>300000</v>
      </c>
      <c r="V275" s="30">
        <f>469857595</f>
        <v>469857595</v>
      </c>
      <c r="W275" s="30">
        <f>326571660</f>
        <v>326571660</v>
      </c>
      <c r="X275" s="34">
        <f>14</f>
        <v>14</v>
      </c>
    </row>
    <row r="276" spans="1:24">
      <c r="A276" s="25" t="s">
        <v>1144</v>
      </c>
      <c r="B276" s="25" t="s">
        <v>591</v>
      </c>
      <c r="C276" s="25" t="s">
        <v>946</v>
      </c>
      <c r="D276" s="25" t="s">
        <v>947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1079.5</f>
        <v>1079.5</v>
      </c>
      <c r="L276" s="32" t="s">
        <v>1110</v>
      </c>
      <c r="M276" s="31">
        <f>1091</f>
        <v>1091</v>
      </c>
      <c r="N276" s="32" t="s">
        <v>778</v>
      </c>
      <c r="O276" s="31">
        <f>1052</f>
        <v>1052</v>
      </c>
      <c r="P276" s="32" t="s">
        <v>674</v>
      </c>
      <c r="Q276" s="31">
        <f>1091</f>
        <v>1091</v>
      </c>
      <c r="R276" s="32" t="s">
        <v>777</v>
      </c>
      <c r="S276" s="33">
        <f>1074.55</f>
        <v>1074.55</v>
      </c>
      <c r="T276" s="30">
        <f>65010</f>
        <v>65010</v>
      </c>
      <c r="U276" s="30">
        <f>20</f>
        <v>20</v>
      </c>
      <c r="V276" s="30">
        <f>69702160</f>
        <v>69702160</v>
      </c>
      <c r="W276" s="30">
        <f>21625</f>
        <v>21625</v>
      </c>
      <c r="X276" s="34">
        <f>21</f>
        <v>21</v>
      </c>
    </row>
    <row r="277" spans="1:24">
      <c r="A277" s="25" t="s">
        <v>1144</v>
      </c>
      <c r="B277" s="25" t="s">
        <v>592</v>
      </c>
      <c r="C277" s="25" t="s">
        <v>593</v>
      </c>
      <c r="D277" s="25" t="s">
        <v>594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1737</f>
        <v>1737</v>
      </c>
      <c r="L277" s="32" t="s">
        <v>1110</v>
      </c>
      <c r="M277" s="31">
        <f>1743</f>
        <v>1743</v>
      </c>
      <c r="N277" s="32" t="s">
        <v>677</v>
      </c>
      <c r="O277" s="31">
        <f>1661</f>
        <v>1661</v>
      </c>
      <c r="P277" s="32" t="s">
        <v>680</v>
      </c>
      <c r="Q277" s="31">
        <f>1740</f>
        <v>1740</v>
      </c>
      <c r="R277" s="32" t="s">
        <v>777</v>
      </c>
      <c r="S277" s="33">
        <f>1709.24</f>
        <v>1709.24</v>
      </c>
      <c r="T277" s="30">
        <f>1063531</f>
        <v>1063531</v>
      </c>
      <c r="U277" s="30">
        <f>356701</f>
        <v>356701</v>
      </c>
      <c r="V277" s="30">
        <f>1812137670</f>
        <v>1812137670</v>
      </c>
      <c r="W277" s="30">
        <f>604395238</f>
        <v>604395238</v>
      </c>
      <c r="X277" s="34">
        <f>21</f>
        <v>21</v>
      </c>
    </row>
    <row r="278" spans="1:24">
      <c r="A278" s="25" t="s">
        <v>1144</v>
      </c>
      <c r="B278" s="25" t="s">
        <v>595</v>
      </c>
      <c r="C278" s="25" t="s">
        <v>596</v>
      </c>
      <c r="D278" s="25" t="s">
        <v>597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13000</f>
        <v>13000</v>
      </c>
      <c r="L278" s="32" t="s">
        <v>1110</v>
      </c>
      <c r="M278" s="31">
        <f>13945</f>
        <v>13945</v>
      </c>
      <c r="N278" s="32" t="s">
        <v>777</v>
      </c>
      <c r="O278" s="31">
        <f>12845</f>
        <v>12845</v>
      </c>
      <c r="P278" s="32" t="s">
        <v>875</v>
      </c>
      <c r="Q278" s="31">
        <f>13645</f>
        <v>13645</v>
      </c>
      <c r="R278" s="32" t="s">
        <v>777</v>
      </c>
      <c r="S278" s="33">
        <f>13254.05</f>
        <v>13254.05</v>
      </c>
      <c r="T278" s="30">
        <f>958</f>
        <v>958</v>
      </c>
      <c r="U278" s="30" t="str">
        <f>"－"</f>
        <v>－</v>
      </c>
      <c r="V278" s="30">
        <f>12723625</f>
        <v>12723625</v>
      </c>
      <c r="W278" s="30" t="str">
        <f>"－"</f>
        <v>－</v>
      </c>
      <c r="X278" s="34">
        <f>21</f>
        <v>21</v>
      </c>
    </row>
    <row r="279" spans="1:24">
      <c r="A279" s="25" t="s">
        <v>1144</v>
      </c>
      <c r="B279" s="25" t="s">
        <v>598</v>
      </c>
      <c r="C279" s="25" t="s">
        <v>599</v>
      </c>
      <c r="D279" s="25" t="s">
        <v>600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1939</f>
        <v>1939</v>
      </c>
      <c r="L279" s="32" t="s">
        <v>1110</v>
      </c>
      <c r="M279" s="31">
        <f>1974</f>
        <v>1974</v>
      </c>
      <c r="N279" s="32" t="s">
        <v>1116</v>
      </c>
      <c r="O279" s="31">
        <f>1864</f>
        <v>1864</v>
      </c>
      <c r="P279" s="32" t="s">
        <v>760</v>
      </c>
      <c r="Q279" s="31">
        <f>1945</f>
        <v>1945</v>
      </c>
      <c r="R279" s="32" t="s">
        <v>777</v>
      </c>
      <c r="S279" s="33">
        <f>1919.24</f>
        <v>1919.24</v>
      </c>
      <c r="T279" s="30">
        <f>74172</f>
        <v>74172</v>
      </c>
      <c r="U279" s="30">
        <f>1</f>
        <v>1</v>
      </c>
      <c r="V279" s="30">
        <f>142140647</f>
        <v>142140647</v>
      </c>
      <c r="W279" s="30">
        <f>1933</f>
        <v>1933</v>
      </c>
      <c r="X279" s="34">
        <f>21</f>
        <v>21</v>
      </c>
    </row>
    <row r="280" spans="1:24">
      <c r="A280" s="25" t="s">
        <v>1144</v>
      </c>
      <c r="B280" s="25" t="s">
        <v>601</v>
      </c>
      <c r="C280" s="25" t="s">
        <v>602</v>
      </c>
      <c r="D280" s="25" t="s">
        <v>603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1507.5</f>
        <v>1507.5</v>
      </c>
      <c r="L280" s="32" t="s">
        <v>1110</v>
      </c>
      <c r="M280" s="31">
        <f>1582</f>
        <v>1582</v>
      </c>
      <c r="N280" s="32" t="s">
        <v>777</v>
      </c>
      <c r="O280" s="31">
        <f>1474.5</f>
        <v>1474.5</v>
      </c>
      <c r="P280" s="32" t="s">
        <v>875</v>
      </c>
      <c r="Q280" s="31">
        <f>1537</f>
        <v>1537</v>
      </c>
      <c r="R280" s="32" t="s">
        <v>777</v>
      </c>
      <c r="S280" s="33">
        <f>1509.71</f>
        <v>1509.71</v>
      </c>
      <c r="T280" s="30">
        <f>5100</f>
        <v>5100</v>
      </c>
      <c r="U280" s="30" t="str">
        <f>"－"</f>
        <v>－</v>
      </c>
      <c r="V280" s="30">
        <f>7842910</f>
        <v>7842910</v>
      </c>
      <c r="W280" s="30" t="str">
        <f>"－"</f>
        <v>－</v>
      </c>
      <c r="X280" s="34">
        <f>14</f>
        <v>14</v>
      </c>
    </row>
    <row r="281" spans="1:24">
      <c r="A281" s="25" t="s">
        <v>1144</v>
      </c>
      <c r="B281" s="25" t="s">
        <v>604</v>
      </c>
      <c r="C281" s="25" t="s">
        <v>685</v>
      </c>
      <c r="D281" s="25" t="s">
        <v>686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809.9</f>
        <v>809.9</v>
      </c>
      <c r="L281" s="32" t="s">
        <v>1110</v>
      </c>
      <c r="M281" s="31">
        <f>809.9</f>
        <v>809.9</v>
      </c>
      <c r="N281" s="32" t="s">
        <v>1110</v>
      </c>
      <c r="O281" s="31">
        <f>790</f>
        <v>790</v>
      </c>
      <c r="P281" s="32" t="s">
        <v>874</v>
      </c>
      <c r="Q281" s="31">
        <f>793</f>
        <v>793</v>
      </c>
      <c r="R281" s="32" t="s">
        <v>777</v>
      </c>
      <c r="S281" s="33">
        <f>798.1</f>
        <v>798.1</v>
      </c>
      <c r="T281" s="30">
        <f>895110</f>
        <v>895110</v>
      </c>
      <c r="U281" s="30">
        <f>350290</f>
        <v>350290</v>
      </c>
      <c r="V281" s="30">
        <f>711098829</f>
        <v>711098829</v>
      </c>
      <c r="W281" s="30">
        <f>278435637</f>
        <v>278435637</v>
      </c>
      <c r="X281" s="34">
        <f>21</f>
        <v>21</v>
      </c>
    </row>
    <row r="282" spans="1:24">
      <c r="A282" s="25" t="s">
        <v>1144</v>
      </c>
      <c r="B282" s="25" t="s">
        <v>605</v>
      </c>
      <c r="C282" s="25" t="s">
        <v>606</v>
      </c>
      <c r="D282" s="25" t="s">
        <v>607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10</v>
      </c>
      <c r="K282" s="31">
        <f>1898</f>
        <v>1898</v>
      </c>
      <c r="L282" s="32" t="s">
        <v>1110</v>
      </c>
      <c r="M282" s="31">
        <f>1898</f>
        <v>1898</v>
      </c>
      <c r="N282" s="32" t="s">
        <v>1110</v>
      </c>
      <c r="O282" s="31">
        <f>1804</f>
        <v>1804</v>
      </c>
      <c r="P282" s="32" t="s">
        <v>674</v>
      </c>
      <c r="Q282" s="31">
        <f>1855</f>
        <v>1855</v>
      </c>
      <c r="R282" s="32" t="s">
        <v>777</v>
      </c>
      <c r="S282" s="33">
        <f>1836.71</f>
        <v>1836.71</v>
      </c>
      <c r="T282" s="30">
        <f>2949440</f>
        <v>2949440</v>
      </c>
      <c r="U282" s="30">
        <f>2576000</f>
        <v>2576000</v>
      </c>
      <c r="V282" s="30">
        <f>5396742878</f>
        <v>5396742878</v>
      </c>
      <c r="W282" s="30">
        <f>4712452218</f>
        <v>4712452218</v>
      </c>
      <c r="X282" s="34">
        <f>21</f>
        <v>21</v>
      </c>
    </row>
    <row r="283" spans="1:24">
      <c r="A283" s="25" t="s">
        <v>1144</v>
      </c>
      <c r="B283" s="25" t="s">
        <v>608</v>
      </c>
      <c r="C283" s="25" t="s">
        <v>609</v>
      </c>
      <c r="D283" s="25" t="s">
        <v>610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1859</f>
        <v>1859</v>
      </c>
      <c r="L283" s="32" t="s">
        <v>1110</v>
      </c>
      <c r="M283" s="31">
        <f>1871.5</f>
        <v>1871.5</v>
      </c>
      <c r="N283" s="32" t="s">
        <v>1110</v>
      </c>
      <c r="O283" s="31">
        <f>1783</f>
        <v>1783</v>
      </c>
      <c r="P283" s="32" t="s">
        <v>674</v>
      </c>
      <c r="Q283" s="31">
        <f>1855</f>
        <v>1855</v>
      </c>
      <c r="R283" s="32" t="s">
        <v>777</v>
      </c>
      <c r="S283" s="33">
        <f>1830.31</f>
        <v>1830.31</v>
      </c>
      <c r="T283" s="30">
        <f>4239230</f>
        <v>4239230</v>
      </c>
      <c r="U283" s="30">
        <f>2633550</f>
        <v>2633550</v>
      </c>
      <c r="V283" s="30">
        <f>7795132667</f>
        <v>7795132667</v>
      </c>
      <c r="W283" s="30">
        <f>4844664687</f>
        <v>4844664687</v>
      </c>
      <c r="X283" s="34">
        <f>21</f>
        <v>21</v>
      </c>
    </row>
    <row r="284" spans="1:24">
      <c r="A284" s="25" t="s">
        <v>1144</v>
      </c>
      <c r="B284" s="25" t="s">
        <v>611</v>
      </c>
      <c r="C284" s="25" t="s">
        <v>612</v>
      </c>
      <c r="D284" s="25" t="s">
        <v>613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2833.5</f>
        <v>2833.5</v>
      </c>
      <c r="L284" s="32" t="s">
        <v>1110</v>
      </c>
      <c r="M284" s="31">
        <f>2833.5</f>
        <v>2833.5</v>
      </c>
      <c r="N284" s="32" t="s">
        <v>1110</v>
      </c>
      <c r="O284" s="31">
        <f>2630</f>
        <v>2630</v>
      </c>
      <c r="P284" s="32" t="s">
        <v>680</v>
      </c>
      <c r="Q284" s="31">
        <f>2766</f>
        <v>2766</v>
      </c>
      <c r="R284" s="32" t="s">
        <v>777</v>
      </c>
      <c r="S284" s="33">
        <f>2736.33</f>
        <v>2736.33</v>
      </c>
      <c r="T284" s="30">
        <f>2301760</f>
        <v>2301760</v>
      </c>
      <c r="U284" s="30">
        <f>791000</f>
        <v>791000</v>
      </c>
      <c r="V284" s="30">
        <f>6295182790</f>
        <v>6295182790</v>
      </c>
      <c r="W284" s="30">
        <f>2153314700</f>
        <v>2153314700</v>
      </c>
      <c r="X284" s="34">
        <f>21</f>
        <v>21</v>
      </c>
    </row>
    <row r="285" spans="1:24">
      <c r="A285" s="25" t="s">
        <v>1144</v>
      </c>
      <c r="B285" s="25" t="s">
        <v>614</v>
      </c>
      <c r="C285" s="25" t="s">
        <v>615</v>
      </c>
      <c r="D285" s="25" t="s">
        <v>616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23020</f>
        <v>23020</v>
      </c>
      <c r="L285" s="32" t="s">
        <v>1110</v>
      </c>
      <c r="M285" s="31">
        <f>23110</f>
        <v>23110</v>
      </c>
      <c r="N285" s="32" t="s">
        <v>777</v>
      </c>
      <c r="O285" s="31">
        <f>21805</f>
        <v>21805</v>
      </c>
      <c r="P285" s="32" t="s">
        <v>680</v>
      </c>
      <c r="Q285" s="31">
        <f>23085</f>
        <v>23085</v>
      </c>
      <c r="R285" s="32" t="s">
        <v>777</v>
      </c>
      <c r="S285" s="33">
        <f>22665.95</f>
        <v>22665.95</v>
      </c>
      <c r="T285" s="30">
        <f>707237</f>
        <v>707237</v>
      </c>
      <c r="U285" s="30">
        <f>47153</f>
        <v>47153</v>
      </c>
      <c r="V285" s="30">
        <f>15993937309</f>
        <v>15993937309</v>
      </c>
      <c r="W285" s="30">
        <f>1055917354</f>
        <v>1055917354</v>
      </c>
      <c r="X285" s="34">
        <f>21</f>
        <v>21</v>
      </c>
    </row>
    <row r="286" spans="1:24">
      <c r="A286" s="25" t="s">
        <v>1144</v>
      </c>
      <c r="B286" s="25" t="s">
        <v>617</v>
      </c>
      <c r="C286" s="25" t="s">
        <v>618</v>
      </c>
      <c r="D286" s="25" t="s">
        <v>619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19575</f>
        <v>19575</v>
      </c>
      <c r="L286" s="32" t="s">
        <v>1110</v>
      </c>
      <c r="M286" s="31">
        <f>19780</f>
        <v>19780</v>
      </c>
      <c r="N286" s="32" t="s">
        <v>777</v>
      </c>
      <c r="O286" s="31">
        <f>18660</f>
        <v>18660</v>
      </c>
      <c r="P286" s="32" t="s">
        <v>680</v>
      </c>
      <c r="Q286" s="31">
        <f>19760</f>
        <v>19760</v>
      </c>
      <c r="R286" s="32" t="s">
        <v>777</v>
      </c>
      <c r="S286" s="33">
        <f>19400.71</f>
        <v>19400.71</v>
      </c>
      <c r="T286" s="30">
        <f>365355</f>
        <v>365355</v>
      </c>
      <c r="U286" s="30">
        <f>2447</f>
        <v>2447</v>
      </c>
      <c r="V286" s="30">
        <f>7080741106</f>
        <v>7080741106</v>
      </c>
      <c r="W286" s="30">
        <f>47154256</f>
        <v>47154256</v>
      </c>
      <c r="X286" s="34">
        <f>21</f>
        <v>21</v>
      </c>
    </row>
    <row r="287" spans="1:24">
      <c r="A287" s="25" t="s">
        <v>1144</v>
      </c>
      <c r="B287" s="25" t="s">
        <v>620</v>
      </c>
      <c r="C287" s="25" t="s">
        <v>621</v>
      </c>
      <c r="D287" s="25" t="s">
        <v>622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</v>
      </c>
      <c r="K287" s="31">
        <f>37410</f>
        <v>37410</v>
      </c>
      <c r="L287" s="32" t="s">
        <v>1110</v>
      </c>
      <c r="M287" s="31">
        <f>37410</f>
        <v>37410</v>
      </c>
      <c r="N287" s="32" t="s">
        <v>1110</v>
      </c>
      <c r="O287" s="31">
        <f>35880</f>
        <v>35880</v>
      </c>
      <c r="P287" s="32" t="s">
        <v>676</v>
      </c>
      <c r="Q287" s="31">
        <f>36770</f>
        <v>36770</v>
      </c>
      <c r="R287" s="32" t="s">
        <v>777</v>
      </c>
      <c r="S287" s="33">
        <f>36660.77</f>
        <v>36660.769999999997</v>
      </c>
      <c r="T287" s="30">
        <f>36</f>
        <v>36</v>
      </c>
      <c r="U287" s="30" t="str">
        <f>"－"</f>
        <v>－</v>
      </c>
      <c r="V287" s="30">
        <f>1324040</f>
        <v>1324040</v>
      </c>
      <c r="W287" s="30" t="str">
        <f>"－"</f>
        <v>－</v>
      </c>
      <c r="X287" s="34">
        <f>13</f>
        <v>13</v>
      </c>
    </row>
    <row r="288" spans="1:24">
      <c r="A288" s="25" t="s">
        <v>1144</v>
      </c>
      <c r="B288" s="25" t="s">
        <v>623</v>
      </c>
      <c r="C288" s="25" t="s">
        <v>624</v>
      </c>
      <c r="D288" s="25" t="s">
        <v>625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</v>
      </c>
      <c r="K288" s="31">
        <f>2448</f>
        <v>2448</v>
      </c>
      <c r="L288" s="32" t="s">
        <v>1110</v>
      </c>
      <c r="M288" s="31">
        <f>2448</f>
        <v>2448</v>
      </c>
      <c r="N288" s="32" t="s">
        <v>1110</v>
      </c>
      <c r="O288" s="31">
        <f>2376</f>
        <v>2376</v>
      </c>
      <c r="P288" s="32" t="s">
        <v>676</v>
      </c>
      <c r="Q288" s="31">
        <f>2395</f>
        <v>2395</v>
      </c>
      <c r="R288" s="32" t="s">
        <v>777</v>
      </c>
      <c r="S288" s="33">
        <f>2406.62</f>
        <v>2406.62</v>
      </c>
      <c r="T288" s="30">
        <f>1402213</f>
        <v>1402213</v>
      </c>
      <c r="U288" s="30">
        <f>1180927</f>
        <v>1180927</v>
      </c>
      <c r="V288" s="30">
        <f>3359522362</f>
        <v>3359522362</v>
      </c>
      <c r="W288" s="30">
        <f>2827608711</f>
        <v>2827608711</v>
      </c>
      <c r="X288" s="34">
        <f>21</f>
        <v>21</v>
      </c>
    </row>
    <row r="289" spans="1:24">
      <c r="A289" s="25" t="s">
        <v>1144</v>
      </c>
      <c r="B289" s="25" t="s">
        <v>626</v>
      </c>
      <c r="C289" s="25" t="s">
        <v>627</v>
      </c>
      <c r="D289" s="25" t="s">
        <v>628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3109</f>
        <v>3109</v>
      </c>
      <c r="L289" s="32" t="s">
        <v>1110</v>
      </c>
      <c r="M289" s="31">
        <f>3109</f>
        <v>3109</v>
      </c>
      <c r="N289" s="32" t="s">
        <v>1110</v>
      </c>
      <c r="O289" s="31">
        <f>2874.5</f>
        <v>2874.5</v>
      </c>
      <c r="P289" s="32" t="s">
        <v>680</v>
      </c>
      <c r="Q289" s="31">
        <f>2980</f>
        <v>2980</v>
      </c>
      <c r="R289" s="32" t="s">
        <v>777</v>
      </c>
      <c r="S289" s="33">
        <f>2998.36</f>
        <v>2998.36</v>
      </c>
      <c r="T289" s="30">
        <f>1557040</f>
        <v>1557040</v>
      </c>
      <c r="U289" s="30">
        <f>1418950</f>
        <v>1418950</v>
      </c>
      <c r="V289" s="30">
        <f>4643105284</f>
        <v>4643105284</v>
      </c>
      <c r="W289" s="30">
        <f>4231861594</f>
        <v>4231861594</v>
      </c>
      <c r="X289" s="34">
        <f>21</f>
        <v>21</v>
      </c>
    </row>
    <row r="290" spans="1:24">
      <c r="A290" s="25" t="s">
        <v>1144</v>
      </c>
      <c r="B290" s="25" t="s">
        <v>629</v>
      </c>
      <c r="C290" s="25" t="s">
        <v>630</v>
      </c>
      <c r="D290" s="25" t="s">
        <v>631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10</v>
      </c>
      <c r="K290" s="31">
        <f>309</f>
        <v>309</v>
      </c>
      <c r="L290" s="32" t="s">
        <v>1110</v>
      </c>
      <c r="M290" s="31">
        <f>309</f>
        <v>309</v>
      </c>
      <c r="N290" s="32" t="s">
        <v>1110</v>
      </c>
      <c r="O290" s="31">
        <f>287.6</f>
        <v>287.60000000000002</v>
      </c>
      <c r="P290" s="32" t="s">
        <v>680</v>
      </c>
      <c r="Q290" s="31">
        <f>297.6</f>
        <v>297.60000000000002</v>
      </c>
      <c r="R290" s="32" t="s">
        <v>777</v>
      </c>
      <c r="S290" s="33">
        <f>299.64</f>
        <v>299.64</v>
      </c>
      <c r="T290" s="30">
        <f>49016410</f>
        <v>49016410</v>
      </c>
      <c r="U290" s="30">
        <f>16862510</f>
        <v>16862510</v>
      </c>
      <c r="V290" s="30">
        <f>14701834304</f>
        <v>14701834304</v>
      </c>
      <c r="W290" s="30">
        <f>5122991863</f>
        <v>5122991863</v>
      </c>
      <c r="X290" s="34">
        <f>21</f>
        <v>21</v>
      </c>
    </row>
    <row r="291" spans="1:24">
      <c r="A291" s="25" t="s">
        <v>1144</v>
      </c>
      <c r="B291" s="25" t="s">
        <v>632</v>
      </c>
      <c r="C291" s="25" t="s">
        <v>633</v>
      </c>
      <c r="D291" s="25" t="s">
        <v>634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2895</f>
        <v>2895</v>
      </c>
      <c r="L291" s="32" t="s">
        <v>1110</v>
      </c>
      <c r="M291" s="31">
        <f>2895</f>
        <v>2895</v>
      </c>
      <c r="N291" s="32" t="s">
        <v>1110</v>
      </c>
      <c r="O291" s="31">
        <f>2741</f>
        <v>2741</v>
      </c>
      <c r="P291" s="32" t="s">
        <v>676</v>
      </c>
      <c r="Q291" s="31">
        <f>2845</f>
        <v>2845</v>
      </c>
      <c r="R291" s="32" t="s">
        <v>777</v>
      </c>
      <c r="S291" s="33">
        <f>2815.29</f>
        <v>2815.29</v>
      </c>
      <c r="T291" s="30">
        <f>1896664</f>
        <v>1896664</v>
      </c>
      <c r="U291" s="30">
        <f>711000</f>
        <v>711000</v>
      </c>
      <c r="V291" s="30">
        <f>5346422481</f>
        <v>5346422481</v>
      </c>
      <c r="W291" s="30">
        <f>2011811599</f>
        <v>2011811599</v>
      </c>
      <c r="X291" s="34">
        <f>21</f>
        <v>21</v>
      </c>
    </row>
    <row r="292" spans="1:24">
      <c r="A292" s="25" t="s">
        <v>1144</v>
      </c>
      <c r="B292" s="25" t="s">
        <v>635</v>
      </c>
      <c r="C292" s="25" t="s">
        <v>636</v>
      </c>
      <c r="D292" s="25" t="s">
        <v>637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913</f>
        <v>913</v>
      </c>
      <c r="L292" s="32" t="s">
        <v>1110</v>
      </c>
      <c r="M292" s="31">
        <f>921</f>
        <v>921</v>
      </c>
      <c r="N292" s="32" t="s">
        <v>874</v>
      </c>
      <c r="O292" s="31">
        <f>880</f>
        <v>880</v>
      </c>
      <c r="P292" s="32" t="s">
        <v>1145</v>
      </c>
      <c r="Q292" s="31">
        <f>915</f>
        <v>915</v>
      </c>
      <c r="R292" s="32" t="s">
        <v>777</v>
      </c>
      <c r="S292" s="33">
        <f>902.86</f>
        <v>902.86</v>
      </c>
      <c r="T292" s="30">
        <f>578705</f>
        <v>578705</v>
      </c>
      <c r="U292" s="30">
        <f>23001</f>
        <v>23001</v>
      </c>
      <c r="V292" s="30">
        <f>521162983</f>
        <v>521162983</v>
      </c>
      <c r="W292" s="30">
        <f>20556004</f>
        <v>20556004</v>
      </c>
      <c r="X292" s="34">
        <f>21</f>
        <v>21</v>
      </c>
    </row>
    <row r="293" spans="1:24">
      <c r="A293" s="25" t="s">
        <v>1144</v>
      </c>
      <c r="B293" s="25" t="s">
        <v>638</v>
      </c>
      <c r="C293" s="25" t="s">
        <v>639</v>
      </c>
      <c r="D293" s="25" t="s">
        <v>640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10</v>
      </c>
      <c r="K293" s="31">
        <f>1021.5</f>
        <v>1021.5</v>
      </c>
      <c r="L293" s="32" t="s">
        <v>1110</v>
      </c>
      <c r="M293" s="31">
        <f>1039.5</f>
        <v>1039.5</v>
      </c>
      <c r="N293" s="32" t="s">
        <v>675</v>
      </c>
      <c r="O293" s="31">
        <f>982.7</f>
        <v>982.7</v>
      </c>
      <c r="P293" s="32" t="s">
        <v>1113</v>
      </c>
      <c r="Q293" s="31">
        <f>1017</f>
        <v>1017</v>
      </c>
      <c r="R293" s="32" t="s">
        <v>777</v>
      </c>
      <c r="S293" s="33">
        <f>1007.25</f>
        <v>1007.25</v>
      </c>
      <c r="T293" s="30">
        <f>533380</f>
        <v>533380</v>
      </c>
      <c r="U293" s="30">
        <f>225020</f>
        <v>225020</v>
      </c>
      <c r="V293" s="30">
        <f>533717150</f>
        <v>533717150</v>
      </c>
      <c r="W293" s="30">
        <f>225840387</f>
        <v>225840387</v>
      </c>
      <c r="X293" s="34">
        <f>21</f>
        <v>21</v>
      </c>
    </row>
    <row r="294" spans="1:24">
      <c r="A294" s="25" t="s">
        <v>1144</v>
      </c>
      <c r="B294" s="25" t="s">
        <v>641</v>
      </c>
      <c r="C294" s="25" t="s">
        <v>642</v>
      </c>
      <c r="D294" s="25" t="s">
        <v>643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10</v>
      </c>
      <c r="K294" s="31">
        <f>360.1</f>
        <v>360.1</v>
      </c>
      <c r="L294" s="32" t="s">
        <v>1110</v>
      </c>
      <c r="M294" s="31">
        <f>372.5</f>
        <v>372.5</v>
      </c>
      <c r="N294" s="32" t="s">
        <v>1113</v>
      </c>
      <c r="O294" s="31">
        <f>338</f>
        <v>338</v>
      </c>
      <c r="P294" s="32" t="s">
        <v>777</v>
      </c>
      <c r="Q294" s="31">
        <f>362.5</f>
        <v>362.5</v>
      </c>
      <c r="R294" s="32" t="s">
        <v>777</v>
      </c>
      <c r="S294" s="33">
        <f>362.03</f>
        <v>362.03</v>
      </c>
      <c r="T294" s="30">
        <f>11660</f>
        <v>11660</v>
      </c>
      <c r="U294" s="30" t="str">
        <f>"－"</f>
        <v>－</v>
      </c>
      <c r="V294" s="30">
        <f>4184341</f>
        <v>4184341</v>
      </c>
      <c r="W294" s="30" t="str">
        <f>"－"</f>
        <v>－</v>
      </c>
      <c r="X294" s="34">
        <f>18</f>
        <v>18</v>
      </c>
    </row>
    <row r="295" spans="1:24">
      <c r="A295" s="25" t="s">
        <v>1144</v>
      </c>
      <c r="B295" s="25" t="s">
        <v>644</v>
      </c>
      <c r="C295" s="25" t="s">
        <v>645</v>
      </c>
      <c r="D295" s="25" t="s">
        <v>646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10</v>
      </c>
      <c r="K295" s="31">
        <f>4784</f>
        <v>4784</v>
      </c>
      <c r="L295" s="32" t="s">
        <v>1110</v>
      </c>
      <c r="M295" s="31">
        <f>4825</f>
        <v>4825</v>
      </c>
      <c r="N295" s="32" t="s">
        <v>677</v>
      </c>
      <c r="O295" s="31">
        <f>4502</f>
        <v>4502</v>
      </c>
      <c r="P295" s="32" t="s">
        <v>680</v>
      </c>
      <c r="Q295" s="31">
        <f>4789</f>
        <v>4789</v>
      </c>
      <c r="R295" s="32" t="s">
        <v>777</v>
      </c>
      <c r="S295" s="33">
        <f>4715.43</f>
        <v>4715.43</v>
      </c>
      <c r="T295" s="30">
        <f>1631670</f>
        <v>1631670</v>
      </c>
      <c r="U295" s="30">
        <f>24310</f>
        <v>24310</v>
      </c>
      <c r="V295" s="30">
        <f>7671236389</f>
        <v>7671236389</v>
      </c>
      <c r="W295" s="30">
        <f>115841749</f>
        <v>115841749</v>
      </c>
      <c r="X295" s="34">
        <f>21</f>
        <v>21</v>
      </c>
    </row>
    <row r="296" spans="1:24">
      <c r="A296" s="25" t="s">
        <v>1144</v>
      </c>
      <c r="B296" s="25" t="s">
        <v>647</v>
      </c>
      <c r="C296" s="25" t="s">
        <v>648</v>
      </c>
      <c r="D296" s="25" t="s">
        <v>649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10</v>
      </c>
      <c r="K296" s="31">
        <f>2958.5</f>
        <v>2958.5</v>
      </c>
      <c r="L296" s="32" t="s">
        <v>1110</v>
      </c>
      <c r="M296" s="31">
        <f>2964</f>
        <v>2964</v>
      </c>
      <c r="N296" s="32" t="s">
        <v>1110</v>
      </c>
      <c r="O296" s="31">
        <f>2732</f>
        <v>2732</v>
      </c>
      <c r="P296" s="32" t="s">
        <v>680</v>
      </c>
      <c r="Q296" s="31">
        <f>2849</f>
        <v>2849</v>
      </c>
      <c r="R296" s="32" t="s">
        <v>777</v>
      </c>
      <c r="S296" s="33">
        <f>2871.67</f>
        <v>2871.67</v>
      </c>
      <c r="T296" s="30">
        <f>1835930</f>
        <v>1835930</v>
      </c>
      <c r="U296" s="30">
        <f>632610</f>
        <v>632610</v>
      </c>
      <c r="V296" s="30">
        <f>5298897240</f>
        <v>5298897240</v>
      </c>
      <c r="W296" s="30">
        <f>1859391700</f>
        <v>1859391700</v>
      </c>
      <c r="X296" s="34">
        <f>21</f>
        <v>21</v>
      </c>
    </row>
    <row r="297" spans="1:24">
      <c r="A297" s="25" t="s">
        <v>1144</v>
      </c>
      <c r="B297" s="25" t="s">
        <v>650</v>
      </c>
      <c r="C297" s="25" t="s">
        <v>651</v>
      </c>
      <c r="D297" s="25" t="s">
        <v>652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10</v>
      </c>
      <c r="K297" s="31">
        <f>342.8</f>
        <v>342.8</v>
      </c>
      <c r="L297" s="32" t="s">
        <v>1110</v>
      </c>
      <c r="M297" s="31">
        <f>351.3</f>
        <v>351.3</v>
      </c>
      <c r="N297" s="32" t="s">
        <v>777</v>
      </c>
      <c r="O297" s="31">
        <f>340.2</f>
        <v>340.2</v>
      </c>
      <c r="P297" s="32" t="s">
        <v>759</v>
      </c>
      <c r="Q297" s="31">
        <f>351.2</f>
        <v>351.2</v>
      </c>
      <c r="R297" s="32" t="s">
        <v>777</v>
      </c>
      <c r="S297" s="33">
        <f>344.46</f>
        <v>344.46</v>
      </c>
      <c r="T297" s="30">
        <f>27994030</f>
        <v>27994030</v>
      </c>
      <c r="U297" s="30">
        <f>23696360</f>
        <v>23696360</v>
      </c>
      <c r="V297" s="30">
        <f>9588959070</f>
        <v>9588959070</v>
      </c>
      <c r="W297" s="30">
        <f>8113123031</f>
        <v>8113123031</v>
      </c>
      <c r="X297" s="34">
        <f>21</f>
        <v>21</v>
      </c>
    </row>
    <row r="298" spans="1:24">
      <c r="A298" s="25" t="s">
        <v>1144</v>
      </c>
      <c r="B298" s="25" t="s">
        <v>653</v>
      </c>
      <c r="C298" s="25" t="s">
        <v>654</v>
      </c>
      <c r="D298" s="25" t="s">
        <v>655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1278</f>
        <v>1278</v>
      </c>
      <c r="L298" s="32" t="s">
        <v>1110</v>
      </c>
      <c r="M298" s="31">
        <f>1280</f>
        <v>1280</v>
      </c>
      <c r="N298" s="32" t="s">
        <v>1110</v>
      </c>
      <c r="O298" s="31">
        <f>1170</f>
        <v>1170</v>
      </c>
      <c r="P298" s="32" t="s">
        <v>676</v>
      </c>
      <c r="Q298" s="31">
        <f>1192</f>
        <v>1192</v>
      </c>
      <c r="R298" s="32" t="s">
        <v>777</v>
      </c>
      <c r="S298" s="33">
        <f>1215.05</f>
        <v>1215.05</v>
      </c>
      <c r="T298" s="30">
        <f>31632255</f>
        <v>31632255</v>
      </c>
      <c r="U298" s="30">
        <f>2259471</f>
        <v>2259471</v>
      </c>
      <c r="V298" s="30">
        <f>38446211518</f>
        <v>38446211518</v>
      </c>
      <c r="W298" s="30">
        <f>2720017603</f>
        <v>2720017603</v>
      </c>
      <c r="X298" s="34">
        <f>21</f>
        <v>21</v>
      </c>
    </row>
    <row r="299" spans="1:24">
      <c r="A299" s="25" t="s">
        <v>1144</v>
      </c>
      <c r="B299" s="25" t="s">
        <v>656</v>
      </c>
      <c r="C299" s="25" t="s">
        <v>657</v>
      </c>
      <c r="D299" s="25" t="s">
        <v>658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1806</f>
        <v>1806</v>
      </c>
      <c r="L299" s="32" t="s">
        <v>1110</v>
      </c>
      <c r="M299" s="31">
        <f>1808</f>
        <v>1808</v>
      </c>
      <c r="N299" s="32" t="s">
        <v>1110</v>
      </c>
      <c r="O299" s="31">
        <f>1721</f>
        <v>1721</v>
      </c>
      <c r="P299" s="32" t="s">
        <v>682</v>
      </c>
      <c r="Q299" s="31">
        <f>1746</f>
        <v>1746</v>
      </c>
      <c r="R299" s="32" t="s">
        <v>777</v>
      </c>
      <c r="S299" s="33">
        <f>1762.43</f>
        <v>1762.43</v>
      </c>
      <c r="T299" s="30">
        <f>85195</f>
        <v>85195</v>
      </c>
      <c r="U299" s="30">
        <f>2</f>
        <v>2</v>
      </c>
      <c r="V299" s="30">
        <f>149494583</f>
        <v>149494583</v>
      </c>
      <c r="W299" s="30">
        <f>3592</f>
        <v>3592</v>
      </c>
      <c r="X299" s="34">
        <f>21</f>
        <v>21</v>
      </c>
    </row>
    <row r="300" spans="1:24">
      <c r="A300" s="25" t="s">
        <v>1144</v>
      </c>
      <c r="B300" s="25" t="s">
        <v>659</v>
      </c>
      <c r="C300" s="25" t="s">
        <v>660</v>
      </c>
      <c r="D300" s="25" t="s">
        <v>661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2138</f>
        <v>2138</v>
      </c>
      <c r="L300" s="32" t="s">
        <v>1110</v>
      </c>
      <c r="M300" s="31">
        <f>2138</f>
        <v>2138</v>
      </c>
      <c r="N300" s="32" t="s">
        <v>1110</v>
      </c>
      <c r="O300" s="31">
        <f>2050</f>
        <v>2050</v>
      </c>
      <c r="P300" s="32" t="s">
        <v>678</v>
      </c>
      <c r="Q300" s="31">
        <f>2060</f>
        <v>2060</v>
      </c>
      <c r="R300" s="32" t="s">
        <v>777</v>
      </c>
      <c r="S300" s="33">
        <f>2083.86</f>
        <v>2083.86</v>
      </c>
      <c r="T300" s="30">
        <f>1810737</f>
        <v>1810737</v>
      </c>
      <c r="U300" s="30">
        <f>1796000</f>
        <v>1796000</v>
      </c>
      <c r="V300" s="30">
        <f>3779447774</f>
        <v>3779447774</v>
      </c>
      <c r="W300" s="30">
        <f>3748759600</f>
        <v>3748759600</v>
      </c>
      <c r="X300" s="34">
        <f>21</f>
        <v>21</v>
      </c>
    </row>
    <row r="301" spans="1:24">
      <c r="A301" s="25" t="s">
        <v>1144</v>
      </c>
      <c r="B301" s="25" t="s">
        <v>662</v>
      </c>
      <c r="C301" s="25" t="s">
        <v>663</v>
      </c>
      <c r="D301" s="25" t="s">
        <v>948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</v>
      </c>
      <c r="K301" s="31">
        <f>4115</f>
        <v>4115</v>
      </c>
      <c r="L301" s="32" t="s">
        <v>1110</v>
      </c>
      <c r="M301" s="31">
        <f>4115</f>
        <v>4115</v>
      </c>
      <c r="N301" s="32" t="s">
        <v>1110</v>
      </c>
      <c r="O301" s="31">
        <f>3685</f>
        <v>3685</v>
      </c>
      <c r="P301" s="32" t="s">
        <v>680</v>
      </c>
      <c r="Q301" s="31">
        <f>3855</f>
        <v>3855</v>
      </c>
      <c r="R301" s="32" t="s">
        <v>777</v>
      </c>
      <c r="S301" s="33">
        <f>3895.71</f>
        <v>3895.71</v>
      </c>
      <c r="T301" s="30">
        <f>2338870</f>
        <v>2338870</v>
      </c>
      <c r="U301" s="30">
        <f>893512</f>
        <v>893512</v>
      </c>
      <c r="V301" s="30">
        <f>9101465386</f>
        <v>9101465386</v>
      </c>
      <c r="W301" s="30">
        <f>3449284261</f>
        <v>3449284261</v>
      </c>
      <c r="X301" s="34">
        <f>21</f>
        <v>21</v>
      </c>
    </row>
    <row r="302" spans="1:24">
      <c r="A302" s="25" t="s">
        <v>1144</v>
      </c>
      <c r="B302" s="25" t="s">
        <v>664</v>
      </c>
      <c r="C302" s="25" t="s">
        <v>665</v>
      </c>
      <c r="D302" s="25" t="s">
        <v>949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</v>
      </c>
      <c r="K302" s="31">
        <f>2811</f>
        <v>2811</v>
      </c>
      <c r="L302" s="32" t="s">
        <v>1110</v>
      </c>
      <c r="M302" s="31">
        <f>2850</f>
        <v>2850</v>
      </c>
      <c r="N302" s="32" t="s">
        <v>1113</v>
      </c>
      <c r="O302" s="31">
        <f>2604</f>
        <v>2604</v>
      </c>
      <c r="P302" s="32" t="s">
        <v>680</v>
      </c>
      <c r="Q302" s="31">
        <f>2748</f>
        <v>2748</v>
      </c>
      <c r="R302" s="32" t="s">
        <v>777</v>
      </c>
      <c r="S302" s="33">
        <f>2721.57</f>
        <v>2721.57</v>
      </c>
      <c r="T302" s="30">
        <f>1308509</f>
        <v>1308509</v>
      </c>
      <c r="U302" s="30">
        <f>547578</f>
        <v>547578</v>
      </c>
      <c r="V302" s="30">
        <f>3565816072</f>
        <v>3565816072</v>
      </c>
      <c r="W302" s="30">
        <f>1502334299</f>
        <v>1502334299</v>
      </c>
      <c r="X302" s="34">
        <f>21</f>
        <v>21</v>
      </c>
    </row>
    <row r="303" spans="1:24">
      <c r="A303" s="25" t="s">
        <v>1144</v>
      </c>
      <c r="B303" s="25" t="s">
        <v>666</v>
      </c>
      <c r="C303" s="25" t="s">
        <v>667</v>
      </c>
      <c r="D303" s="25" t="s">
        <v>668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2252</f>
        <v>2252</v>
      </c>
      <c r="L303" s="32" t="s">
        <v>1110</v>
      </c>
      <c r="M303" s="31">
        <f>2252</f>
        <v>2252</v>
      </c>
      <c r="N303" s="32" t="s">
        <v>1110</v>
      </c>
      <c r="O303" s="31">
        <f>2047</f>
        <v>2047</v>
      </c>
      <c r="P303" s="32" t="s">
        <v>680</v>
      </c>
      <c r="Q303" s="31">
        <f>2134</f>
        <v>2134</v>
      </c>
      <c r="R303" s="32" t="s">
        <v>777</v>
      </c>
      <c r="S303" s="33">
        <f>2144.57</f>
        <v>2144.5700000000002</v>
      </c>
      <c r="T303" s="30">
        <f>52144</f>
        <v>52144</v>
      </c>
      <c r="U303" s="30" t="str">
        <f>"－"</f>
        <v>－</v>
      </c>
      <c r="V303" s="30">
        <f>113305226</f>
        <v>113305226</v>
      </c>
      <c r="W303" s="30" t="str">
        <f>"－"</f>
        <v>－</v>
      </c>
      <c r="X303" s="34">
        <f>21</f>
        <v>21</v>
      </c>
    </row>
    <row r="304" spans="1:24">
      <c r="A304" s="25" t="s">
        <v>1144</v>
      </c>
      <c r="B304" s="25" t="s">
        <v>669</v>
      </c>
      <c r="C304" s="25" t="s">
        <v>670</v>
      </c>
      <c r="D304" s="25" t="s">
        <v>671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1363</f>
        <v>1363</v>
      </c>
      <c r="L304" s="32" t="s">
        <v>1110</v>
      </c>
      <c r="M304" s="31">
        <f>1363</f>
        <v>1363</v>
      </c>
      <c r="N304" s="32" t="s">
        <v>1110</v>
      </c>
      <c r="O304" s="31">
        <f>1200</f>
        <v>1200</v>
      </c>
      <c r="P304" s="32" t="s">
        <v>680</v>
      </c>
      <c r="Q304" s="31">
        <f>1238</f>
        <v>1238</v>
      </c>
      <c r="R304" s="32" t="s">
        <v>777</v>
      </c>
      <c r="S304" s="33">
        <f>1274.1</f>
        <v>1274.0999999999999</v>
      </c>
      <c r="T304" s="30">
        <f>25235</f>
        <v>25235</v>
      </c>
      <c r="U304" s="30" t="str">
        <f>"－"</f>
        <v>－</v>
      </c>
      <c r="V304" s="30">
        <f>32108143</f>
        <v>32108143</v>
      </c>
      <c r="W304" s="30" t="str">
        <f>"－"</f>
        <v>－</v>
      </c>
      <c r="X304" s="34">
        <f>21</f>
        <v>21</v>
      </c>
    </row>
    <row r="305" spans="1:24">
      <c r="A305" s="25" t="s">
        <v>1144</v>
      </c>
      <c r="B305" s="25" t="s">
        <v>687</v>
      </c>
      <c r="C305" s="25" t="s">
        <v>688</v>
      </c>
      <c r="D305" s="25" t="s">
        <v>689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1607</f>
        <v>1607</v>
      </c>
      <c r="L305" s="32" t="s">
        <v>1110</v>
      </c>
      <c r="M305" s="31">
        <f>1720</f>
        <v>1720</v>
      </c>
      <c r="N305" s="32" t="s">
        <v>777</v>
      </c>
      <c r="O305" s="31">
        <f>1562</f>
        <v>1562</v>
      </c>
      <c r="P305" s="32" t="s">
        <v>874</v>
      </c>
      <c r="Q305" s="31">
        <f>1689</f>
        <v>1689</v>
      </c>
      <c r="R305" s="32" t="s">
        <v>777</v>
      </c>
      <c r="S305" s="33">
        <f>1612.71</f>
        <v>1612.71</v>
      </c>
      <c r="T305" s="30">
        <f>48623</f>
        <v>48623</v>
      </c>
      <c r="U305" s="30" t="str">
        <f>"－"</f>
        <v>－</v>
      </c>
      <c r="V305" s="30">
        <f>78493537</f>
        <v>78493537</v>
      </c>
      <c r="W305" s="30" t="str">
        <f>"－"</f>
        <v>－</v>
      </c>
      <c r="X305" s="34">
        <f>21</f>
        <v>21</v>
      </c>
    </row>
    <row r="306" spans="1:24">
      <c r="A306" s="25" t="s">
        <v>1144</v>
      </c>
      <c r="B306" s="25" t="s">
        <v>690</v>
      </c>
      <c r="C306" s="25" t="s">
        <v>691</v>
      </c>
      <c r="D306" s="25" t="s">
        <v>692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2334</f>
        <v>2334</v>
      </c>
      <c r="L306" s="32" t="s">
        <v>1110</v>
      </c>
      <c r="M306" s="31">
        <f>2542</f>
        <v>2542</v>
      </c>
      <c r="N306" s="32" t="s">
        <v>777</v>
      </c>
      <c r="O306" s="31">
        <f>2316</f>
        <v>2316</v>
      </c>
      <c r="P306" s="32" t="s">
        <v>760</v>
      </c>
      <c r="Q306" s="31">
        <f>2522</f>
        <v>2522</v>
      </c>
      <c r="R306" s="32" t="s">
        <v>777</v>
      </c>
      <c r="S306" s="33">
        <f>2376.95</f>
        <v>2376.9499999999998</v>
      </c>
      <c r="T306" s="30">
        <f>4300</f>
        <v>4300</v>
      </c>
      <c r="U306" s="30" t="str">
        <f>"－"</f>
        <v>－</v>
      </c>
      <c r="V306" s="30">
        <f>10162156</f>
        <v>10162156</v>
      </c>
      <c r="W306" s="30" t="str">
        <f>"－"</f>
        <v>－</v>
      </c>
      <c r="X306" s="34">
        <f>20</f>
        <v>20</v>
      </c>
    </row>
    <row r="307" spans="1:24">
      <c r="A307" s="25" t="s">
        <v>1144</v>
      </c>
      <c r="B307" s="25" t="s">
        <v>693</v>
      </c>
      <c r="C307" s="25" t="s">
        <v>694</v>
      </c>
      <c r="D307" s="25" t="s">
        <v>695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12260</f>
        <v>12260</v>
      </c>
      <c r="L307" s="32" t="s">
        <v>1110</v>
      </c>
      <c r="M307" s="31">
        <f>12260</f>
        <v>12260</v>
      </c>
      <c r="N307" s="32" t="s">
        <v>1110</v>
      </c>
      <c r="O307" s="31">
        <f>11415</f>
        <v>11415</v>
      </c>
      <c r="P307" s="32" t="s">
        <v>680</v>
      </c>
      <c r="Q307" s="31">
        <f>11830</f>
        <v>11830</v>
      </c>
      <c r="R307" s="32" t="s">
        <v>777</v>
      </c>
      <c r="S307" s="33">
        <f>11915.71</f>
        <v>11915.71</v>
      </c>
      <c r="T307" s="30">
        <f>593132</f>
        <v>593132</v>
      </c>
      <c r="U307" s="30">
        <f>430487</f>
        <v>430487</v>
      </c>
      <c r="V307" s="30">
        <f>7037534818</f>
        <v>7037534818</v>
      </c>
      <c r="W307" s="30">
        <f>5116905423</f>
        <v>5116905423</v>
      </c>
      <c r="X307" s="34">
        <f>21</f>
        <v>21</v>
      </c>
    </row>
    <row r="308" spans="1:24">
      <c r="A308" s="25" t="s">
        <v>1144</v>
      </c>
      <c r="B308" s="25" t="s">
        <v>696</v>
      </c>
      <c r="C308" s="25" t="s">
        <v>697</v>
      </c>
      <c r="D308" s="25" t="s">
        <v>698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19990</f>
        <v>19990</v>
      </c>
      <c r="L308" s="32" t="s">
        <v>1110</v>
      </c>
      <c r="M308" s="31">
        <f>20160</f>
        <v>20160</v>
      </c>
      <c r="N308" s="32" t="s">
        <v>677</v>
      </c>
      <c r="O308" s="31">
        <f>18810</f>
        <v>18810</v>
      </c>
      <c r="P308" s="32" t="s">
        <v>680</v>
      </c>
      <c r="Q308" s="31">
        <f>20020</f>
        <v>20020</v>
      </c>
      <c r="R308" s="32" t="s">
        <v>777</v>
      </c>
      <c r="S308" s="33">
        <f>19670</f>
        <v>19670</v>
      </c>
      <c r="T308" s="30">
        <f>510239</f>
        <v>510239</v>
      </c>
      <c r="U308" s="30">
        <f>14973</f>
        <v>14973</v>
      </c>
      <c r="V308" s="30">
        <f>10019938831</f>
        <v>10019938831</v>
      </c>
      <c r="W308" s="30">
        <f>290466856</f>
        <v>290466856</v>
      </c>
      <c r="X308" s="34">
        <f>21</f>
        <v>21</v>
      </c>
    </row>
    <row r="309" spans="1:24">
      <c r="A309" s="25" t="s">
        <v>1144</v>
      </c>
      <c r="B309" s="25" t="s">
        <v>699</v>
      </c>
      <c r="C309" s="25" t="s">
        <v>700</v>
      </c>
      <c r="D309" s="25" t="s">
        <v>701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12430</f>
        <v>12430</v>
      </c>
      <c r="L309" s="32" t="s">
        <v>1110</v>
      </c>
      <c r="M309" s="31">
        <f>12430</f>
        <v>12430</v>
      </c>
      <c r="N309" s="32" t="s">
        <v>1110</v>
      </c>
      <c r="O309" s="31">
        <f>11440</f>
        <v>11440</v>
      </c>
      <c r="P309" s="32" t="s">
        <v>680</v>
      </c>
      <c r="Q309" s="31">
        <f>11910</f>
        <v>11910</v>
      </c>
      <c r="R309" s="32" t="s">
        <v>777</v>
      </c>
      <c r="S309" s="33">
        <f>11993.57</f>
        <v>11993.57</v>
      </c>
      <c r="T309" s="30">
        <f>248722</f>
        <v>248722</v>
      </c>
      <c r="U309" s="30">
        <f>126499</f>
        <v>126499</v>
      </c>
      <c r="V309" s="30">
        <f>2959835033</f>
        <v>2959835033</v>
      </c>
      <c r="W309" s="30">
        <f>1502174683</f>
        <v>1502174683</v>
      </c>
      <c r="X309" s="34">
        <f>21</f>
        <v>21</v>
      </c>
    </row>
    <row r="310" spans="1:24">
      <c r="A310" s="25" t="s">
        <v>1144</v>
      </c>
      <c r="B310" s="25" t="s">
        <v>702</v>
      </c>
      <c r="C310" s="25" t="s">
        <v>703</v>
      </c>
      <c r="D310" s="25" t="s">
        <v>704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10</v>
      </c>
      <c r="K310" s="31">
        <f>368.7</f>
        <v>368.7</v>
      </c>
      <c r="L310" s="32" t="s">
        <v>1110</v>
      </c>
      <c r="M310" s="31">
        <f>369.8</f>
        <v>369.8</v>
      </c>
      <c r="N310" s="32" t="s">
        <v>777</v>
      </c>
      <c r="O310" s="31">
        <f>348</f>
        <v>348</v>
      </c>
      <c r="P310" s="32" t="s">
        <v>680</v>
      </c>
      <c r="Q310" s="31">
        <f>369.4</f>
        <v>369.4</v>
      </c>
      <c r="R310" s="32" t="s">
        <v>777</v>
      </c>
      <c r="S310" s="33">
        <f>362.75</f>
        <v>362.75</v>
      </c>
      <c r="T310" s="30">
        <f>9596740</f>
        <v>9596740</v>
      </c>
      <c r="U310" s="30">
        <f>1725380</f>
        <v>1725380</v>
      </c>
      <c r="V310" s="30">
        <f>3472757546</f>
        <v>3472757546</v>
      </c>
      <c r="W310" s="30">
        <f>630689901</f>
        <v>630689901</v>
      </c>
      <c r="X310" s="34">
        <f>21</f>
        <v>21</v>
      </c>
    </row>
    <row r="311" spans="1:24">
      <c r="A311" s="25" t="s">
        <v>1144</v>
      </c>
      <c r="B311" s="25" t="s">
        <v>705</v>
      </c>
      <c r="C311" s="25" t="s">
        <v>706</v>
      </c>
      <c r="D311" s="25" t="s">
        <v>707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10</v>
      </c>
      <c r="K311" s="31">
        <f>2397</f>
        <v>2397</v>
      </c>
      <c r="L311" s="32" t="s">
        <v>1110</v>
      </c>
      <c r="M311" s="31">
        <f>2398</f>
        <v>2398</v>
      </c>
      <c r="N311" s="32" t="s">
        <v>1110</v>
      </c>
      <c r="O311" s="31">
        <f>2232</f>
        <v>2232</v>
      </c>
      <c r="P311" s="32" t="s">
        <v>680</v>
      </c>
      <c r="Q311" s="31">
        <f>2311.5</f>
        <v>2311.5</v>
      </c>
      <c r="R311" s="32" t="s">
        <v>777</v>
      </c>
      <c r="S311" s="33">
        <f>2325.71</f>
        <v>2325.71</v>
      </c>
      <c r="T311" s="30">
        <f>2288880</f>
        <v>2288880</v>
      </c>
      <c r="U311" s="30">
        <f>1543950</f>
        <v>1543950</v>
      </c>
      <c r="V311" s="30">
        <f>5329159176</f>
        <v>5329159176</v>
      </c>
      <c r="W311" s="30">
        <f>3601712686</f>
        <v>3601712686</v>
      </c>
      <c r="X311" s="34">
        <f>21</f>
        <v>21</v>
      </c>
    </row>
    <row r="312" spans="1:24">
      <c r="A312" s="25" t="s">
        <v>1144</v>
      </c>
      <c r="B312" s="25" t="s">
        <v>708</v>
      </c>
      <c r="C312" s="25" t="s">
        <v>709</v>
      </c>
      <c r="D312" s="25" t="s">
        <v>710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10</v>
      </c>
      <c r="K312" s="31">
        <f>3804</f>
        <v>3804</v>
      </c>
      <c r="L312" s="32" t="s">
        <v>1110</v>
      </c>
      <c r="M312" s="31">
        <f>3845</f>
        <v>3845</v>
      </c>
      <c r="N312" s="32" t="s">
        <v>777</v>
      </c>
      <c r="O312" s="31">
        <f>3602</f>
        <v>3602</v>
      </c>
      <c r="P312" s="32" t="s">
        <v>680</v>
      </c>
      <c r="Q312" s="31">
        <f>3842</f>
        <v>3842</v>
      </c>
      <c r="R312" s="32" t="s">
        <v>777</v>
      </c>
      <c r="S312" s="33">
        <f>3752.4</f>
        <v>3752.4</v>
      </c>
      <c r="T312" s="30">
        <f>4870</f>
        <v>4870</v>
      </c>
      <c r="U312" s="30" t="str">
        <f>"－"</f>
        <v>－</v>
      </c>
      <c r="V312" s="30">
        <f>18236490</f>
        <v>18236490</v>
      </c>
      <c r="W312" s="30" t="str">
        <f>"－"</f>
        <v>－</v>
      </c>
      <c r="X312" s="34">
        <f>20</f>
        <v>20</v>
      </c>
    </row>
    <row r="313" spans="1:24">
      <c r="A313" s="25" t="s">
        <v>1144</v>
      </c>
      <c r="B313" s="25" t="s">
        <v>711</v>
      </c>
      <c r="C313" s="25" t="s">
        <v>712</v>
      </c>
      <c r="D313" s="25" t="s">
        <v>713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3395</f>
        <v>3395</v>
      </c>
      <c r="L313" s="32" t="s">
        <v>1110</v>
      </c>
      <c r="M313" s="31">
        <f>3395</f>
        <v>3395</v>
      </c>
      <c r="N313" s="32" t="s">
        <v>1110</v>
      </c>
      <c r="O313" s="31">
        <f>3115</f>
        <v>3115</v>
      </c>
      <c r="P313" s="32" t="s">
        <v>680</v>
      </c>
      <c r="Q313" s="31">
        <f>3300</f>
        <v>3300</v>
      </c>
      <c r="R313" s="32" t="s">
        <v>777</v>
      </c>
      <c r="S313" s="33">
        <f>3267.14</f>
        <v>3267.14</v>
      </c>
      <c r="T313" s="30">
        <f>11714</f>
        <v>11714</v>
      </c>
      <c r="U313" s="30">
        <f>3030</f>
        <v>3030</v>
      </c>
      <c r="V313" s="30">
        <f>38114752</f>
        <v>38114752</v>
      </c>
      <c r="W313" s="30">
        <f>9997182</f>
        <v>9997182</v>
      </c>
      <c r="X313" s="34">
        <f>21</f>
        <v>21</v>
      </c>
    </row>
    <row r="314" spans="1:24">
      <c r="A314" s="25" t="s">
        <v>1144</v>
      </c>
      <c r="B314" s="25" t="s">
        <v>714</v>
      </c>
      <c r="C314" s="25" t="s">
        <v>1035</v>
      </c>
      <c r="D314" s="25" t="s">
        <v>1034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1708</f>
        <v>1708</v>
      </c>
      <c r="L314" s="32" t="s">
        <v>1110</v>
      </c>
      <c r="M314" s="31">
        <f>1708</f>
        <v>1708</v>
      </c>
      <c r="N314" s="32" t="s">
        <v>1110</v>
      </c>
      <c r="O314" s="31">
        <f>1600</f>
        <v>1600</v>
      </c>
      <c r="P314" s="32" t="s">
        <v>680</v>
      </c>
      <c r="Q314" s="31">
        <f>1689</f>
        <v>1689</v>
      </c>
      <c r="R314" s="32" t="s">
        <v>777</v>
      </c>
      <c r="S314" s="33">
        <f>1666.62</f>
        <v>1666.62</v>
      </c>
      <c r="T314" s="30">
        <f>31704</f>
        <v>31704</v>
      </c>
      <c r="U314" s="30">
        <f>5</f>
        <v>5</v>
      </c>
      <c r="V314" s="30">
        <f>52583227</f>
        <v>52583227</v>
      </c>
      <c r="W314" s="30">
        <f>8307</f>
        <v>8307</v>
      </c>
      <c r="X314" s="34">
        <f>21</f>
        <v>21</v>
      </c>
    </row>
    <row r="315" spans="1:24">
      <c r="A315" s="25" t="s">
        <v>1144</v>
      </c>
      <c r="B315" s="25" t="s">
        <v>715</v>
      </c>
      <c r="C315" s="25" t="s">
        <v>716</v>
      </c>
      <c r="D315" s="25" t="s">
        <v>717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2145</f>
        <v>2145</v>
      </c>
      <c r="L315" s="32" t="s">
        <v>1110</v>
      </c>
      <c r="M315" s="31">
        <f>2161</f>
        <v>2161</v>
      </c>
      <c r="N315" s="32" t="s">
        <v>1110</v>
      </c>
      <c r="O315" s="31">
        <f>1890</f>
        <v>1890</v>
      </c>
      <c r="P315" s="32" t="s">
        <v>874</v>
      </c>
      <c r="Q315" s="31">
        <f>2087</f>
        <v>2087</v>
      </c>
      <c r="R315" s="32" t="s">
        <v>777</v>
      </c>
      <c r="S315" s="33">
        <f>2062.76</f>
        <v>2062.7600000000002</v>
      </c>
      <c r="T315" s="30">
        <f>220550</f>
        <v>220550</v>
      </c>
      <c r="U315" s="30">
        <f>10000</f>
        <v>10000</v>
      </c>
      <c r="V315" s="30">
        <f>452381030</f>
        <v>452381030</v>
      </c>
      <c r="W315" s="30">
        <f>19820613</f>
        <v>19820613</v>
      </c>
      <c r="X315" s="34">
        <f>21</f>
        <v>21</v>
      </c>
    </row>
    <row r="316" spans="1:24">
      <c r="A316" s="25" t="s">
        <v>1144</v>
      </c>
      <c r="B316" s="25" t="s">
        <v>718</v>
      </c>
      <c r="C316" s="25" t="s">
        <v>719</v>
      </c>
      <c r="D316" s="25" t="s">
        <v>720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1660</f>
        <v>1660</v>
      </c>
      <c r="L316" s="32" t="s">
        <v>1110</v>
      </c>
      <c r="M316" s="31">
        <f>1660</f>
        <v>1660</v>
      </c>
      <c r="N316" s="32" t="s">
        <v>1110</v>
      </c>
      <c r="O316" s="31">
        <f>1493</f>
        <v>1493</v>
      </c>
      <c r="P316" s="32" t="s">
        <v>874</v>
      </c>
      <c r="Q316" s="31">
        <f>1614</f>
        <v>1614</v>
      </c>
      <c r="R316" s="32" t="s">
        <v>777</v>
      </c>
      <c r="S316" s="33">
        <f>1591.33</f>
        <v>1591.33</v>
      </c>
      <c r="T316" s="30">
        <f>31972</f>
        <v>31972</v>
      </c>
      <c r="U316" s="30" t="str">
        <f>"－"</f>
        <v>－</v>
      </c>
      <c r="V316" s="30">
        <f>51065665</f>
        <v>51065665</v>
      </c>
      <c r="W316" s="30" t="str">
        <f>"－"</f>
        <v>－</v>
      </c>
      <c r="X316" s="34">
        <f>21</f>
        <v>21</v>
      </c>
    </row>
    <row r="317" spans="1:24">
      <c r="A317" s="25" t="s">
        <v>1144</v>
      </c>
      <c r="B317" s="25" t="s">
        <v>721</v>
      </c>
      <c r="C317" s="25" t="s">
        <v>722</v>
      </c>
      <c r="D317" s="25" t="s">
        <v>723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2979</f>
        <v>2979</v>
      </c>
      <c r="L317" s="32" t="s">
        <v>1110</v>
      </c>
      <c r="M317" s="31">
        <f>2982</f>
        <v>2982</v>
      </c>
      <c r="N317" s="32" t="s">
        <v>1110</v>
      </c>
      <c r="O317" s="31">
        <f>2728</f>
        <v>2728</v>
      </c>
      <c r="P317" s="32" t="s">
        <v>680</v>
      </c>
      <c r="Q317" s="31">
        <f>2843</f>
        <v>2843</v>
      </c>
      <c r="R317" s="32" t="s">
        <v>777</v>
      </c>
      <c r="S317" s="33">
        <f>2843.43</f>
        <v>2843.43</v>
      </c>
      <c r="T317" s="30">
        <f>58726</f>
        <v>58726</v>
      </c>
      <c r="U317" s="30" t="str">
        <f>"－"</f>
        <v>－</v>
      </c>
      <c r="V317" s="30">
        <f>166461116</f>
        <v>166461116</v>
      </c>
      <c r="W317" s="30" t="str">
        <f>"－"</f>
        <v>－</v>
      </c>
      <c r="X317" s="34">
        <f>21</f>
        <v>21</v>
      </c>
    </row>
    <row r="318" spans="1:24">
      <c r="A318" s="25" t="s">
        <v>1144</v>
      </c>
      <c r="B318" s="25" t="s">
        <v>724</v>
      </c>
      <c r="C318" s="25" t="s">
        <v>1033</v>
      </c>
      <c r="D318" s="25" t="s">
        <v>1032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3145</f>
        <v>3145</v>
      </c>
      <c r="L318" s="32" t="s">
        <v>1110</v>
      </c>
      <c r="M318" s="31">
        <f>3195</f>
        <v>3195</v>
      </c>
      <c r="N318" s="32" t="s">
        <v>777</v>
      </c>
      <c r="O318" s="31">
        <f>2941</f>
        <v>2941</v>
      </c>
      <c r="P318" s="32" t="s">
        <v>680</v>
      </c>
      <c r="Q318" s="31">
        <f>3170</f>
        <v>3170</v>
      </c>
      <c r="R318" s="32" t="s">
        <v>777</v>
      </c>
      <c r="S318" s="33">
        <f>3080.62</f>
        <v>3080.62</v>
      </c>
      <c r="T318" s="30">
        <f>375742</f>
        <v>375742</v>
      </c>
      <c r="U318" s="30">
        <f>11</f>
        <v>11</v>
      </c>
      <c r="V318" s="30">
        <f>1147603713</f>
        <v>1147603713</v>
      </c>
      <c r="W318" s="30">
        <f>34375</f>
        <v>34375</v>
      </c>
      <c r="X318" s="34">
        <f>21</f>
        <v>21</v>
      </c>
    </row>
    <row r="319" spans="1:24">
      <c r="A319" s="25" t="s">
        <v>1144</v>
      </c>
      <c r="B319" s="25" t="s">
        <v>725</v>
      </c>
      <c r="C319" s="25" t="s">
        <v>726</v>
      </c>
      <c r="D319" s="25" t="s">
        <v>727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36680</f>
        <v>36680</v>
      </c>
      <c r="L319" s="32" t="s">
        <v>1110</v>
      </c>
      <c r="M319" s="31">
        <f>36810</f>
        <v>36810</v>
      </c>
      <c r="N319" s="32" t="s">
        <v>677</v>
      </c>
      <c r="O319" s="31">
        <f>35100</f>
        <v>35100</v>
      </c>
      <c r="P319" s="32" t="s">
        <v>680</v>
      </c>
      <c r="Q319" s="31">
        <f>36590</f>
        <v>36590</v>
      </c>
      <c r="R319" s="32" t="s">
        <v>777</v>
      </c>
      <c r="S319" s="33">
        <f>36076</f>
        <v>36076</v>
      </c>
      <c r="T319" s="30">
        <f>73</f>
        <v>73</v>
      </c>
      <c r="U319" s="30" t="str">
        <f>"－"</f>
        <v>－</v>
      </c>
      <c r="V319" s="30">
        <f>2620400</f>
        <v>2620400</v>
      </c>
      <c r="W319" s="30" t="str">
        <f>"－"</f>
        <v>－</v>
      </c>
      <c r="X319" s="34">
        <f>20</f>
        <v>20</v>
      </c>
    </row>
    <row r="320" spans="1:24">
      <c r="A320" s="25" t="s">
        <v>1144</v>
      </c>
      <c r="B320" s="25" t="s">
        <v>728</v>
      </c>
      <c r="C320" s="25" t="s">
        <v>729</v>
      </c>
      <c r="D320" s="25" t="s">
        <v>730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2946</f>
        <v>2946</v>
      </c>
      <c r="L320" s="32" t="s">
        <v>1110</v>
      </c>
      <c r="M320" s="31">
        <f>2946</f>
        <v>2946</v>
      </c>
      <c r="N320" s="32" t="s">
        <v>1110</v>
      </c>
      <c r="O320" s="31">
        <f>2676</f>
        <v>2676</v>
      </c>
      <c r="P320" s="32" t="s">
        <v>680</v>
      </c>
      <c r="Q320" s="31">
        <f>2817</f>
        <v>2817</v>
      </c>
      <c r="R320" s="32" t="s">
        <v>777</v>
      </c>
      <c r="S320" s="33">
        <f>2808.76</f>
        <v>2808.76</v>
      </c>
      <c r="T320" s="30">
        <f>2377</f>
        <v>2377</v>
      </c>
      <c r="U320" s="30" t="str">
        <f>"－"</f>
        <v>－</v>
      </c>
      <c r="V320" s="30">
        <f>6658305</f>
        <v>6658305</v>
      </c>
      <c r="W320" s="30" t="str">
        <f>"－"</f>
        <v>－</v>
      </c>
      <c r="X320" s="34">
        <f>21</f>
        <v>21</v>
      </c>
    </row>
    <row r="321" spans="1:24">
      <c r="A321" s="25" t="s">
        <v>1144</v>
      </c>
      <c r="B321" s="25" t="s">
        <v>731</v>
      </c>
      <c r="C321" s="25" t="s">
        <v>732</v>
      </c>
      <c r="D321" s="25" t="s">
        <v>733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5140</f>
        <v>5140</v>
      </c>
      <c r="L321" s="32" t="s">
        <v>1110</v>
      </c>
      <c r="M321" s="31">
        <f>5140</f>
        <v>5140</v>
      </c>
      <c r="N321" s="32" t="s">
        <v>1110</v>
      </c>
      <c r="O321" s="31">
        <f>4265</f>
        <v>4265</v>
      </c>
      <c r="P321" s="32" t="s">
        <v>778</v>
      </c>
      <c r="Q321" s="31">
        <f>4540</f>
        <v>4540</v>
      </c>
      <c r="R321" s="32" t="s">
        <v>777</v>
      </c>
      <c r="S321" s="33">
        <f>4770</f>
        <v>4770</v>
      </c>
      <c r="T321" s="30">
        <f>20506061</f>
        <v>20506061</v>
      </c>
      <c r="U321" s="30">
        <f>772359</f>
        <v>772359</v>
      </c>
      <c r="V321" s="30">
        <f>96904509498</f>
        <v>96904509498</v>
      </c>
      <c r="W321" s="30">
        <f>3549380448</f>
        <v>3549380448</v>
      </c>
      <c r="X321" s="34">
        <f>21</f>
        <v>21</v>
      </c>
    </row>
    <row r="322" spans="1:24">
      <c r="A322" s="25" t="s">
        <v>1144</v>
      </c>
      <c r="B322" s="25" t="s">
        <v>734</v>
      </c>
      <c r="C322" s="25" t="s">
        <v>735</v>
      </c>
      <c r="D322" s="25" t="s">
        <v>736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2175</f>
        <v>2175</v>
      </c>
      <c r="L322" s="32" t="s">
        <v>1110</v>
      </c>
      <c r="M322" s="31">
        <f>2175</f>
        <v>2175</v>
      </c>
      <c r="N322" s="32" t="s">
        <v>1110</v>
      </c>
      <c r="O322" s="31">
        <f>1954</f>
        <v>1954</v>
      </c>
      <c r="P322" s="32" t="s">
        <v>874</v>
      </c>
      <c r="Q322" s="31">
        <f>2039</f>
        <v>2039</v>
      </c>
      <c r="R322" s="32" t="s">
        <v>777</v>
      </c>
      <c r="S322" s="33">
        <f>2090.33</f>
        <v>2090.33</v>
      </c>
      <c r="T322" s="30">
        <f>19177</f>
        <v>19177</v>
      </c>
      <c r="U322" s="30" t="str">
        <f>"－"</f>
        <v>－</v>
      </c>
      <c r="V322" s="30">
        <f>40381318</f>
        <v>40381318</v>
      </c>
      <c r="W322" s="30" t="str">
        <f>"－"</f>
        <v>－</v>
      </c>
      <c r="X322" s="34">
        <f>21</f>
        <v>21</v>
      </c>
    </row>
    <row r="323" spans="1:24">
      <c r="A323" s="25" t="s">
        <v>1144</v>
      </c>
      <c r="B323" s="25" t="s">
        <v>737</v>
      </c>
      <c r="C323" s="25" t="s">
        <v>738</v>
      </c>
      <c r="D323" s="25" t="s">
        <v>739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1961</f>
        <v>1961</v>
      </c>
      <c r="L323" s="32" t="s">
        <v>1110</v>
      </c>
      <c r="M323" s="31">
        <f>2035</f>
        <v>2035</v>
      </c>
      <c r="N323" s="32" t="s">
        <v>875</v>
      </c>
      <c r="O323" s="31">
        <f>1900</f>
        <v>1900</v>
      </c>
      <c r="P323" s="32" t="s">
        <v>1110</v>
      </c>
      <c r="Q323" s="31">
        <f>1986</f>
        <v>1986</v>
      </c>
      <c r="R323" s="32" t="s">
        <v>777</v>
      </c>
      <c r="S323" s="33">
        <f>1957.52</f>
        <v>1957.52</v>
      </c>
      <c r="T323" s="30">
        <f>23429</f>
        <v>23429</v>
      </c>
      <c r="U323" s="30" t="str">
        <f>"－"</f>
        <v>－</v>
      </c>
      <c r="V323" s="30">
        <f>46299965</f>
        <v>46299965</v>
      </c>
      <c r="W323" s="30" t="str">
        <f>"－"</f>
        <v>－</v>
      </c>
      <c r="X323" s="34">
        <f>21</f>
        <v>21</v>
      </c>
    </row>
    <row r="324" spans="1:24">
      <c r="A324" s="25" t="s">
        <v>1144</v>
      </c>
      <c r="B324" s="25" t="s">
        <v>740</v>
      </c>
      <c r="C324" s="25" t="s">
        <v>741</v>
      </c>
      <c r="D324" s="25" t="s">
        <v>742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10</v>
      </c>
      <c r="K324" s="31">
        <f>5617</f>
        <v>5617</v>
      </c>
      <c r="L324" s="32" t="s">
        <v>1110</v>
      </c>
      <c r="M324" s="31">
        <f>5871</f>
        <v>5871</v>
      </c>
      <c r="N324" s="32" t="s">
        <v>874</v>
      </c>
      <c r="O324" s="31">
        <f>5520</f>
        <v>5520</v>
      </c>
      <c r="P324" s="32" t="s">
        <v>684</v>
      </c>
      <c r="Q324" s="31">
        <f>5655</f>
        <v>5655</v>
      </c>
      <c r="R324" s="32" t="s">
        <v>777</v>
      </c>
      <c r="S324" s="33">
        <f>5563.15</f>
        <v>5563.15</v>
      </c>
      <c r="T324" s="30">
        <f>728360</f>
        <v>728360</v>
      </c>
      <c r="U324" s="30">
        <f>597010</f>
        <v>597010</v>
      </c>
      <c r="V324" s="30">
        <f>4046654895</f>
        <v>4046654895</v>
      </c>
      <c r="W324" s="30">
        <f>3315588495</f>
        <v>3315588495</v>
      </c>
      <c r="X324" s="34">
        <f>20</f>
        <v>20</v>
      </c>
    </row>
    <row r="325" spans="1:24">
      <c r="A325" s="25" t="s">
        <v>1144</v>
      </c>
      <c r="B325" s="25" t="s">
        <v>743</v>
      </c>
      <c r="C325" s="25" t="s">
        <v>744</v>
      </c>
      <c r="D325" s="25" t="s">
        <v>745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3776</f>
        <v>3776</v>
      </c>
      <c r="L325" s="32" t="s">
        <v>1110</v>
      </c>
      <c r="M325" s="31">
        <f>3776</f>
        <v>3776</v>
      </c>
      <c r="N325" s="32" t="s">
        <v>1110</v>
      </c>
      <c r="O325" s="31">
        <f>3609</f>
        <v>3609</v>
      </c>
      <c r="P325" s="32" t="s">
        <v>678</v>
      </c>
      <c r="Q325" s="31">
        <f>3647</f>
        <v>3647</v>
      </c>
      <c r="R325" s="32" t="s">
        <v>777</v>
      </c>
      <c r="S325" s="33">
        <f>3683</f>
        <v>3683</v>
      </c>
      <c r="T325" s="30">
        <f>5193520</f>
        <v>5193520</v>
      </c>
      <c r="U325" s="30">
        <f>5116480</f>
        <v>5116480</v>
      </c>
      <c r="V325" s="30">
        <f>19233994016</f>
        <v>19233994016</v>
      </c>
      <c r="W325" s="30">
        <f>18949583166</f>
        <v>18949583166</v>
      </c>
      <c r="X325" s="34">
        <f>18</f>
        <v>18</v>
      </c>
    </row>
    <row r="326" spans="1:24">
      <c r="A326" s="25" t="s">
        <v>1144</v>
      </c>
      <c r="B326" s="25" t="s">
        <v>746</v>
      </c>
      <c r="C326" s="25" t="s">
        <v>747</v>
      </c>
      <c r="D326" s="25" t="s">
        <v>748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640.5</f>
        <v>640.5</v>
      </c>
      <c r="L326" s="32" t="s">
        <v>1110</v>
      </c>
      <c r="M326" s="31">
        <f>652.2</f>
        <v>652.20000000000005</v>
      </c>
      <c r="N326" s="32" t="s">
        <v>1113</v>
      </c>
      <c r="O326" s="31">
        <f>613</f>
        <v>613</v>
      </c>
      <c r="P326" s="32" t="s">
        <v>682</v>
      </c>
      <c r="Q326" s="31">
        <f>618</f>
        <v>618</v>
      </c>
      <c r="R326" s="32" t="s">
        <v>777</v>
      </c>
      <c r="S326" s="33">
        <f>623.3</f>
        <v>623.29999999999995</v>
      </c>
      <c r="T326" s="30">
        <f>214120</f>
        <v>214120</v>
      </c>
      <c r="U326" s="30">
        <f>188940</f>
        <v>188940</v>
      </c>
      <c r="V326" s="30">
        <f>135552952</f>
        <v>135552952</v>
      </c>
      <c r="W326" s="30">
        <f>119838236</f>
        <v>119838236</v>
      </c>
      <c r="X326" s="34">
        <f>21</f>
        <v>21</v>
      </c>
    </row>
    <row r="327" spans="1:24">
      <c r="A327" s="25" t="s">
        <v>1144</v>
      </c>
      <c r="B327" s="25" t="s">
        <v>749</v>
      </c>
      <c r="C327" s="25" t="s">
        <v>750</v>
      </c>
      <c r="D327" s="25" t="s">
        <v>751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2624</f>
        <v>2624</v>
      </c>
      <c r="L327" s="32" t="s">
        <v>1110</v>
      </c>
      <c r="M327" s="31">
        <f>2624</f>
        <v>2624</v>
      </c>
      <c r="N327" s="32" t="s">
        <v>1110</v>
      </c>
      <c r="O327" s="31">
        <f>2206</f>
        <v>2206</v>
      </c>
      <c r="P327" s="32" t="s">
        <v>874</v>
      </c>
      <c r="Q327" s="31">
        <f>2404</f>
        <v>2404</v>
      </c>
      <c r="R327" s="32" t="s">
        <v>777</v>
      </c>
      <c r="S327" s="33">
        <f>2470.95</f>
        <v>2470.9499999999998</v>
      </c>
      <c r="T327" s="30">
        <f>3684</f>
        <v>3684</v>
      </c>
      <c r="U327" s="30" t="str">
        <f>"－"</f>
        <v>－</v>
      </c>
      <c r="V327" s="30">
        <f>9009988</f>
        <v>9009988</v>
      </c>
      <c r="W327" s="30" t="str">
        <f>"－"</f>
        <v>－</v>
      </c>
      <c r="X327" s="34">
        <f>21</f>
        <v>21</v>
      </c>
    </row>
    <row r="328" spans="1:24">
      <c r="A328" s="25" t="s">
        <v>1144</v>
      </c>
      <c r="B328" s="25" t="s">
        <v>752</v>
      </c>
      <c r="C328" s="25" t="s">
        <v>1031</v>
      </c>
      <c r="D328" s="25" t="s">
        <v>1030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</v>
      </c>
      <c r="K328" s="31">
        <f>2257</f>
        <v>2257</v>
      </c>
      <c r="L328" s="32" t="s">
        <v>1110</v>
      </c>
      <c r="M328" s="31">
        <f>2257</f>
        <v>2257</v>
      </c>
      <c r="N328" s="32" t="s">
        <v>1110</v>
      </c>
      <c r="O328" s="31">
        <f>2100</f>
        <v>2100</v>
      </c>
      <c r="P328" s="32" t="s">
        <v>680</v>
      </c>
      <c r="Q328" s="31">
        <f>2192</f>
        <v>2192</v>
      </c>
      <c r="R328" s="32" t="s">
        <v>777</v>
      </c>
      <c r="S328" s="33">
        <f>2179.24</f>
        <v>2179.2399999999998</v>
      </c>
      <c r="T328" s="30">
        <f>28480</f>
        <v>28480</v>
      </c>
      <c r="U328" s="30">
        <f>4</f>
        <v>4</v>
      </c>
      <c r="V328" s="30">
        <f>62239733</f>
        <v>62239733</v>
      </c>
      <c r="W328" s="30">
        <f>8801</f>
        <v>8801</v>
      </c>
      <c r="X328" s="34">
        <f>21</f>
        <v>21</v>
      </c>
    </row>
    <row r="329" spans="1:24">
      <c r="A329" s="25" t="s">
        <v>1144</v>
      </c>
      <c r="B329" s="25" t="s">
        <v>753</v>
      </c>
      <c r="C329" s="25" t="s">
        <v>754</v>
      </c>
      <c r="D329" s="25" t="s">
        <v>755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8382</f>
        <v>8382</v>
      </c>
      <c r="L329" s="32" t="s">
        <v>1110</v>
      </c>
      <c r="M329" s="31">
        <f>8463</f>
        <v>8463</v>
      </c>
      <c r="N329" s="32" t="s">
        <v>777</v>
      </c>
      <c r="O329" s="31">
        <f>8256</f>
        <v>8256</v>
      </c>
      <c r="P329" s="32" t="s">
        <v>677</v>
      </c>
      <c r="Q329" s="31">
        <f>8454</f>
        <v>8454</v>
      </c>
      <c r="R329" s="32" t="s">
        <v>777</v>
      </c>
      <c r="S329" s="33">
        <f>8322.43</f>
        <v>8322.43</v>
      </c>
      <c r="T329" s="30">
        <f>286256</f>
        <v>286256</v>
      </c>
      <c r="U329" s="30">
        <f>263000</f>
        <v>263000</v>
      </c>
      <c r="V329" s="30">
        <f>2395270640</f>
        <v>2395270640</v>
      </c>
      <c r="W329" s="30">
        <f>2201613200</f>
        <v>2201613200</v>
      </c>
      <c r="X329" s="34">
        <f>21</f>
        <v>21</v>
      </c>
    </row>
    <row r="330" spans="1:24">
      <c r="A330" s="25" t="s">
        <v>1144</v>
      </c>
      <c r="B330" s="25" t="s">
        <v>756</v>
      </c>
      <c r="C330" s="25" t="s">
        <v>757</v>
      </c>
      <c r="D330" s="25" t="s">
        <v>758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5628</f>
        <v>5628</v>
      </c>
      <c r="L330" s="32" t="s">
        <v>1110</v>
      </c>
      <c r="M330" s="31">
        <f>5645</f>
        <v>5645</v>
      </c>
      <c r="N330" s="32" t="s">
        <v>1110</v>
      </c>
      <c r="O330" s="31">
        <f>5410</f>
        <v>5410</v>
      </c>
      <c r="P330" s="32" t="s">
        <v>676</v>
      </c>
      <c r="Q330" s="31">
        <f>5450</f>
        <v>5450</v>
      </c>
      <c r="R330" s="32" t="s">
        <v>777</v>
      </c>
      <c r="S330" s="33">
        <f>5501.9</f>
        <v>5501.9</v>
      </c>
      <c r="T330" s="30">
        <f>1242839</f>
        <v>1242839</v>
      </c>
      <c r="U330" s="30">
        <f>1214749</f>
        <v>1214749</v>
      </c>
      <c r="V330" s="30">
        <f>6911095738</f>
        <v>6911095738</v>
      </c>
      <c r="W330" s="30">
        <f>6756659274</f>
        <v>6756659274</v>
      </c>
      <c r="X330" s="34">
        <f>21</f>
        <v>21</v>
      </c>
    </row>
    <row r="331" spans="1:24">
      <c r="A331" s="25" t="s">
        <v>1144</v>
      </c>
      <c r="B331" s="25" t="s">
        <v>762</v>
      </c>
      <c r="C331" s="25" t="s">
        <v>763</v>
      </c>
      <c r="D331" s="25" t="s">
        <v>764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25830</f>
        <v>25830</v>
      </c>
      <c r="L331" s="32" t="s">
        <v>1110</v>
      </c>
      <c r="M331" s="31">
        <f>25980</f>
        <v>25980</v>
      </c>
      <c r="N331" s="32" t="s">
        <v>677</v>
      </c>
      <c r="O331" s="31">
        <f>24270</f>
        <v>24270</v>
      </c>
      <c r="P331" s="32" t="s">
        <v>680</v>
      </c>
      <c r="Q331" s="31">
        <f>25815</f>
        <v>25815</v>
      </c>
      <c r="R331" s="32" t="s">
        <v>777</v>
      </c>
      <c r="S331" s="33">
        <f>25391.67</f>
        <v>25391.67</v>
      </c>
      <c r="T331" s="30">
        <f>42902</f>
        <v>42902</v>
      </c>
      <c r="U331" s="30">
        <f>6003</f>
        <v>6003</v>
      </c>
      <c r="V331" s="30">
        <f>1079603050</f>
        <v>1079603050</v>
      </c>
      <c r="W331" s="30">
        <f>151332775</f>
        <v>151332775</v>
      </c>
      <c r="X331" s="34">
        <f>21</f>
        <v>21</v>
      </c>
    </row>
    <row r="332" spans="1:24">
      <c r="A332" s="25" t="s">
        <v>1144</v>
      </c>
      <c r="B332" s="25" t="s">
        <v>765</v>
      </c>
      <c r="C332" s="25" t="s">
        <v>766</v>
      </c>
      <c r="D332" s="25" t="s">
        <v>767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11675</f>
        <v>11675</v>
      </c>
      <c r="L332" s="32" t="s">
        <v>1110</v>
      </c>
      <c r="M332" s="31">
        <f>11675</f>
        <v>11675</v>
      </c>
      <c r="N332" s="32" t="s">
        <v>1110</v>
      </c>
      <c r="O332" s="31">
        <f>10765</f>
        <v>10765</v>
      </c>
      <c r="P332" s="32" t="s">
        <v>680</v>
      </c>
      <c r="Q332" s="31">
        <f>11210</f>
        <v>11210</v>
      </c>
      <c r="R332" s="32" t="s">
        <v>777</v>
      </c>
      <c r="S332" s="33">
        <f>11277.62</f>
        <v>11277.62</v>
      </c>
      <c r="T332" s="30">
        <f>168792</f>
        <v>168792</v>
      </c>
      <c r="U332" s="30">
        <f>45017</f>
        <v>45017</v>
      </c>
      <c r="V332" s="30">
        <f>1925006803</f>
        <v>1925006803</v>
      </c>
      <c r="W332" s="30">
        <f>521607483</f>
        <v>521607483</v>
      </c>
      <c r="X332" s="34">
        <f>21</f>
        <v>21</v>
      </c>
    </row>
    <row r="333" spans="1:24">
      <c r="A333" s="25" t="s">
        <v>1144</v>
      </c>
      <c r="B333" s="25" t="s">
        <v>768</v>
      </c>
      <c r="C333" s="25" t="s">
        <v>769</v>
      </c>
      <c r="D333" s="25" t="s">
        <v>770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20055</f>
        <v>20055</v>
      </c>
      <c r="L333" s="32" t="s">
        <v>1110</v>
      </c>
      <c r="M333" s="31">
        <f>21650</f>
        <v>21650</v>
      </c>
      <c r="N333" s="32" t="s">
        <v>680</v>
      </c>
      <c r="O333" s="31">
        <f>20010</f>
        <v>20010</v>
      </c>
      <c r="P333" s="32" t="s">
        <v>1110</v>
      </c>
      <c r="Q333" s="31">
        <f>20775</f>
        <v>20775</v>
      </c>
      <c r="R333" s="32" t="s">
        <v>777</v>
      </c>
      <c r="S333" s="33">
        <f>20696.9</f>
        <v>20696.900000000001</v>
      </c>
      <c r="T333" s="30">
        <f>147269</f>
        <v>147269</v>
      </c>
      <c r="U333" s="30">
        <f>47300</f>
        <v>47300</v>
      </c>
      <c r="V333" s="30">
        <f>3046993848</f>
        <v>3046993848</v>
      </c>
      <c r="W333" s="30">
        <f>948784978</f>
        <v>948784978</v>
      </c>
      <c r="X333" s="34">
        <f>21</f>
        <v>21</v>
      </c>
    </row>
    <row r="334" spans="1:24">
      <c r="A334" s="25" t="s">
        <v>1144</v>
      </c>
      <c r="B334" s="25" t="s">
        <v>771</v>
      </c>
      <c r="C334" s="25" t="s">
        <v>772</v>
      </c>
      <c r="D334" s="25" t="s">
        <v>773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10</v>
      </c>
      <c r="K334" s="31">
        <f>4190</f>
        <v>4190</v>
      </c>
      <c r="L334" s="32" t="s">
        <v>1116</v>
      </c>
      <c r="M334" s="31">
        <f>4195</f>
        <v>4195</v>
      </c>
      <c r="N334" s="32" t="s">
        <v>1116</v>
      </c>
      <c r="O334" s="31">
        <f>4030</f>
        <v>4030</v>
      </c>
      <c r="P334" s="32" t="s">
        <v>676</v>
      </c>
      <c r="Q334" s="31">
        <f>4114</f>
        <v>4114</v>
      </c>
      <c r="R334" s="32" t="s">
        <v>777</v>
      </c>
      <c r="S334" s="33">
        <f>4122.75</f>
        <v>4122.75</v>
      </c>
      <c r="T334" s="30">
        <f>427700</f>
        <v>427700</v>
      </c>
      <c r="U334" s="30">
        <f>339000</f>
        <v>339000</v>
      </c>
      <c r="V334" s="30">
        <f>1775722704</f>
        <v>1775722704</v>
      </c>
      <c r="W334" s="30">
        <f>1404071264</f>
        <v>1404071264</v>
      </c>
      <c r="X334" s="34">
        <f>16</f>
        <v>16</v>
      </c>
    </row>
    <row r="335" spans="1:24">
      <c r="A335" s="25" t="s">
        <v>1144</v>
      </c>
      <c r="B335" s="25" t="s">
        <v>774</v>
      </c>
      <c r="C335" s="25" t="s">
        <v>775</v>
      </c>
      <c r="D335" s="25" t="s">
        <v>776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10</v>
      </c>
      <c r="K335" s="31">
        <f>5314</f>
        <v>5314</v>
      </c>
      <c r="L335" s="32" t="s">
        <v>1110</v>
      </c>
      <c r="M335" s="31">
        <f>5359</f>
        <v>5359</v>
      </c>
      <c r="N335" s="32" t="s">
        <v>777</v>
      </c>
      <c r="O335" s="31">
        <f>5148</f>
        <v>5148</v>
      </c>
      <c r="P335" s="32" t="s">
        <v>682</v>
      </c>
      <c r="Q335" s="31">
        <f>5298</f>
        <v>5298</v>
      </c>
      <c r="R335" s="32" t="s">
        <v>777</v>
      </c>
      <c r="S335" s="33">
        <f>5238.24</f>
        <v>5238.24</v>
      </c>
      <c r="T335" s="30">
        <f>33430</f>
        <v>33430</v>
      </c>
      <c r="U335" s="30">
        <f>5820</f>
        <v>5820</v>
      </c>
      <c r="V335" s="30">
        <f>174893532</f>
        <v>174893532</v>
      </c>
      <c r="W335" s="30">
        <f>30432432</f>
        <v>30432432</v>
      </c>
      <c r="X335" s="34">
        <f>21</f>
        <v>21</v>
      </c>
    </row>
    <row r="336" spans="1:24">
      <c r="A336" s="25" t="s">
        <v>1144</v>
      </c>
      <c r="B336" s="25" t="s">
        <v>786</v>
      </c>
      <c r="C336" s="25" t="s">
        <v>787</v>
      </c>
      <c r="D336" s="25" t="s">
        <v>788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10</v>
      </c>
      <c r="K336" s="31">
        <f>2433.5</f>
        <v>2433.5</v>
      </c>
      <c r="L336" s="32" t="s">
        <v>1110</v>
      </c>
      <c r="M336" s="31">
        <f>2434</f>
        <v>2434</v>
      </c>
      <c r="N336" s="32" t="s">
        <v>1110</v>
      </c>
      <c r="O336" s="31">
        <f>2247</f>
        <v>2247</v>
      </c>
      <c r="P336" s="32" t="s">
        <v>680</v>
      </c>
      <c r="Q336" s="31">
        <f>2342.5</f>
        <v>2342.5</v>
      </c>
      <c r="R336" s="32" t="s">
        <v>777</v>
      </c>
      <c r="S336" s="33">
        <f>2360.4</f>
        <v>2360.4</v>
      </c>
      <c r="T336" s="30">
        <f>984330</f>
        <v>984330</v>
      </c>
      <c r="U336" s="30">
        <f>187850</f>
        <v>187850</v>
      </c>
      <c r="V336" s="30">
        <f>2326571261</f>
        <v>2326571261</v>
      </c>
      <c r="W336" s="30">
        <f>450954646</f>
        <v>450954646</v>
      </c>
      <c r="X336" s="34">
        <f>21</f>
        <v>21</v>
      </c>
    </row>
    <row r="337" spans="1:24">
      <c r="A337" s="25" t="s">
        <v>1144</v>
      </c>
      <c r="B337" s="25" t="s">
        <v>789</v>
      </c>
      <c r="C337" s="25" t="s">
        <v>790</v>
      </c>
      <c r="D337" s="25" t="s">
        <v>791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10</v>
      </c>
      <c r="K337" s="31">
        <f>2146</f>
        <v>2146</v>
      </c>
      <c r="L337" s="32" t="s">
        <v>1110</v>
      </c>
      <c r="M337" s="31">
        <f>2146</f>
        <v>2146</v>
      </c>
      <c r="N337" s="32" t="s">
        <v>1110</v>
      </c>
      <c r="O337" s="31">
        <f>1970</f>
        <v>1970</v>
      </c>
      <c r="P337" s="32" t="s">
        <v>680</v>
      </c>
      <c r="Q337" s="31">
        <f>2042</f>
        <v>2042</v>
      </c>
      <c r="R337" s="32" t="s">
        <v>777</v>
      </c>
      <c r="S337" s="33">
        <f>2061.48</f>
        <v>2061.48</v>
      </c>
      <c r="T337" s="30">
        <f>1517160</f>
        <v>1517160</v>
      </c>
      <c r="U337" s="30">
        <f>1181050</f>
        <v>1181050</v>
      </c>
      <c r="V337" s="30">
        <f>3153015228</f>
        <v>3153015228</v>
      </c>
      <c r="W337" s="30">
        <f>2457795783</f>
        <v>2457795783</v>
      </c>
      <c r="X337" s="34">
        <f>21</f>
        <v>21</v>
      </c>
    </row>
    <row r="338" spans="1:24">
      <c r="A338" s="25" t="s">
        <v>1144</v>
      </c>
      <c r="B338" s="25" t="s">
        <v>792</v>
      </c>
      <c r="C338" s="25" t="s">
        <v>793</v>
      </c>
      <c r="D338" s="25" t="s">
        <v>794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</v>
      </c>
      <c r="K338" s="31">
        <f>1930</f>
        <v>1930</v>
      </c>
      <c r="L338" s="32" t="s">
        <v>1110</v>
      </c>
      <c r="M338" s="31">
        <f>1930</f>
        <v>1930</v>
      </c>
      <c r="N338" s="32" t="s">
        <v>1110</v>
      </c>
      <c r="O338" s="31">
        <f>1797</f>
        <v>1797</v>
      </c>
      <c r="P338" s="32" t="s">
        <v>680</v>
      </c>
      <c r="Q338" s="31">
        <f>1872</f>
        <v>1872</v>
      </c>
      <c r="R338" s="32" t="s">
        <v>777</v>
      </c>
      <c r="S338" s="33">
        <f>1879</f>
        <v>1879</v>
      </c>
      <c r="T338" s="30">
        <f>4167</f>
        <v>4167</v>
      </c>
      <c r="U338" s="30" t="str">
        <f>"－"</f>
        <v>－</v>
      </c>
      <c r="V338" s="30">
        <f>7734033</f>
        <v>7734033</v>
      </c>
      <c r="W338" s="30" t="str">
        <f>"－"</f>
        <v>－</v>
      </c>
      <c r="X338" s="34">
        <f>21</f>
        <v>21</v>
      </c>
    </row>
    <row r="339" spans="1:24">
      <c r="A339" s="25" t="s">
        <v>1144</v>
      </c>
      <c r="B339" s="25" t="s">
        <v>795</v>
      </c>
      <c r="C339" s="25" t="s">
        <v>796</v>
      </c>
      <c r="D339" s="25" t="s">
        <v>797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</v>
      </c>
      <c r="K339" s="31">
        <f>2100</f>
        <v>2100</v>
      </c>
      <c r="L339" s="32" t="s">
        <v>1110</v>
      </c>
      <c r="M339" s="31">
        <f>2100</f>
        <v>2100</v>
      </c>
      <c r="N339" s="32" t="s">
        <v>1110</v>
      </c>
      <c r="O339" s="31">
        <f>1985</f>
        <v>1985</v>
      </c>
      <c r="P339" s="32" t="s">
        <v>680</v>
      </c>
      <c r="Q339" s="31">
        <f>2060</f>
        <v>2060</v>
      </c>
      <c r="R339" s="32" t="s">
        <v>777</v>
      </c>
      <c r="S339" s="33">
        <f>2046.72</f>
        <v>2046.72</v>
      </c>
      <c r="T339" s="30">
        <f>524</f>
        <v>524</v>
      </c>
      <c r="U339" s="30" t="str">
        <f>"－"</f>
        <v>－</v>
      </c>
      <c r="V339" s="30">
        <f>1073857</f>
        <v>1073857</v>
      </c>
      <c r="W339" s="30" t="str">
        <f>"－"</f>
        <v>－</v>
      </c>
      <c r="X339" s="34">
        <f>18</f>
        <v>18</v>
      </c>
    </row>
    <row r="340" spans="1:24">
      <c r="A340" s="25" t="s">
        <v>1144</v>
      </c>
      <c r="B340" s="25" t="s">
        <v>798</v>
      </c>
      <c r="C340" s="25" t="s">
        <v>799</v>
      </c>
      <c r="D340" s="25" t="s">
        <v>800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4390</f>
        <v>4390</v>
      </c>
      <c r="L340" s="32" t="s">
        <v>1110</v>
      </c>
      <c r="M340" s="31">
        <f>4390</f>
        <v>4390</v>
      </c>
      <c r="N340" s="32" t="s">
        <v>1110</v>
      </c>
      <c r="O340" s="31">
        <f>4100</f>
        <v>4100</v>
      </c>
      <c r="P340" s="32" t="s">
        <v>778</v>
      </c>
      <c r="Q340" s="31">
        <f>4190</f>
        <v>4190</v>
      </c>
      <c r="R340" s="32" t="s">
        <v>777</v>
      </c>
      <c r="S340" s="33">
        <f>4228.57</f>
        <v>4228.57</v>
      </c>
      <c r="T340" s="30">
        <f>23745</f>
        <v>23745</v>
      </c>
      <c r="U340" s="30" t="str">
        <f>"－"</f>
        <v>－</v>
      </c>
      <c r="V340" s="30">
        <f>101258805</f>
        <v>101258805</v>
      </c>
      <c r="W340" s="30" t="str">
        <f>"－"</f>
        <v>－</v>
      </c>
      <c r="X340" s="34">
        <f>21</f>
        <v>21</v>
      </c>
    </row>
    <row r="341" spans="1:24">
      <c r="A341" s="25" t="s">
        <v>1144</v>
      </c>
      <c r="B341" s="25" t="s">
        <v>801</v>
      </c>
      <c r="C341" s="25" t="s">
        <v>802</v>
      </c>
      <c r="D341" s="25" t="s">
        <v>803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2817.5</f>
        <v>2817.5</v>
      </c>
      <c r="L341" s="32" t="s">
        <v>1110</v>
      </c>
      <c r="M341" s="31">
        <f>2817.5</f>
        <v>2817.5</v>
      </c>
      <c r="N341" s="32" t="s">
        <v>1110</v>
      </c>
      <c r="O341" s="31">
        <f>2633.5</f>
        <v>2633.5</v>
      </c>
      <c r="P341" s="32" t="s">
        <v>874</v>
      </c>
      <c r="Q341" s="31">
        <f>2669</f>
        <v>2669</v>
      </c>
      <c r="R341" s="32" t="s">
        <v>679</v>
      </c>
      <c r="S341" s="33">
        <f>2714.65</f>
        <v>2714.65</v>
      </c>
      <c r="T341" s="30">
        <f>35840</f>
        <v>35840</v>
      </c>
      <c r="U341" s="30" t="str">
        <f>"－"</f>
        <v>－</v>
      </c>
      <c r="V341" s="30">
        <f>96990965</f>
        <v>96990965</v>
      </c>
      <c r="W341" s="30" t="str">
        <f>"－"</f>
        <v>－</v>
      </c>
      <c r="X341" s="34">
        <f>13</f>
        <v>13</v>
      </c>
    </row>
    <row r="342" spans="1:24">
      <c r="A342" s="25" t="s">
        <v>1144</v>
      </c>
      <c r="B342" s="25" t="s">
        <v>812</v>
      </c>
      <c r="C342" s="25" t="s">
        <v>813</v>
      </c>
      <c r="D342" s="25" t="s">
        <v>814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269</f>
        <v>269</v>
      </c>
      <c r="L342" s="32" t="s">
        <v>1110</v>
      </c>
      <c r="M342" s="31">
        <f>271.2</f>
        <v>271.2</v>
      </c>
      <c r="N342" s="32" t="s">
        <v>876</v>
      </c>
      <c r="O342" s="31">
        <f>250.6</f>
        <v>250.6</v>
      </c>
      <c r="P342" s="32" t="s">
        <v>680</v>
      </c>
      <c r="Q342" s="31">
        <f>266.6</f>
        <v>266.60000000000002</v>
      </c>
      <c r="R342" s="32" t="s">
        <v>777</v>
      </c>
      <c r="S342" s="33">
        <f>264.31</f>
        <v>264.31</v>
      </c>
      <c r="T342" s="30">
        <f>7260</f>
        <v>7260</v>
      </c>
      <c r="U342" s="30" t="str">
        <f>"－"</f>
        <v>－</v>
      </c>
      <c r="V342" s="30">
        <f>1916826</f>
        <v>1916826</v>
      </c>
      <c r="W342" s="30" t="str">
        <f>"－"</f>
        <v>－</v>
      </c>
      <c r="X342" s="34">
        <f>21</f>
        <v>21</v>
      </c>
    </row>
    <row r="343" spans="1:24">
      <c r="A343" s="25" t="s">
        <v>1144</v>
      </c>
      <c r="B343" s="25" t="s">
        <v>804</v>
      </c>
      <c r="C343" s="25" t="s">
        <v>805</v>
      </c>
      <c r="D343" s="25" t="s">
        <v>806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10</v>
      </c>
      <c r="K343" s="31">
        <f>180.5</f>
        <v>180.5</v>
      </c>
      <c r="L343" s="32" t="s">
        <v>1110</v>
      </c>
      <c r="M343" s="31">
        <f>180.5</f>
        <v>180.5</v>
      </c>
      <c r="N343" s="32" t="s">
        <v>1110</v>
      </c>
      <c r="O343" s="31">
        <f>172</f>
        <v>172</v>
      </c>
      <c r="P343" s="32" t="s">
        <v>674</v>
      </c>
      <c r="Q343" s="31">
        <f>178.9</f>
        <v>178.9</v>
      </c>
      <c r="R343" s="32" t="s">
        <v>777</v>
      </c>
      <c r="S343" s="33">
        <f>176.83</f>
        <v>176.83</v>
      </c>
      <c r="T343" s="30">
        <f>157820</f>
        <v>157820</v>
      </c>
      <c r="U343" s="30">
        <f>90010</f>
        <v>90010</v>
      </c>
      <c r="V343" s="30">
        <f>27651137</f>
        <v>27651137</v>
      </c>
      <c r="W343" s="30">
        <f>15743656</f>
        <v>15743656</v>
      </c>
      <c r="X343" s="34">
        <f>21</f>
        <v>21</v>
      </c>
    </row>
    <row r="344" spans="1:24">
      <c r="A344" s="25" t="s">
        <v>1144</v>
      </c>
      <c r="B344" s="25" t="s">
        <v>807</v>
      </c>
      <c r="C344" s="25" t="s">
        <v>808</v>
      </c>
      <c r="D344" s="25" t="s">
        <v>809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684.2</f>
        <v>684.2</v>
      </c>
      <c r="L344" s="32" t="s">
        <v>674</v>
      </c>
      <c r="M344" s="31">
        <f>684.2</f>
        <v>684.2</v>
      </c>
      <c r="N344" s="32" t="s">
        <v>674</v>
      </c>
      <c r="O344" s="31">
        <f>666.8</f>
        <v>666.8</v>
      </c>
      <c r="P344" s="32" t="s">
        <v>679</v>
      </c>
      <c r="Q344" s="31">
        <f>666.8</f>
        <v>666.8</v>
      </c>
      <c r="R344" s="32" t="s">
        <v>679</v>
      </c>
      <c r="S344" s="33">
        <f>672.39</f>
        <v>672.39</v>
      </c>
      <c r="T344" s="30">
        <f>129530</f>
        <v>129530</v>
      </c>
      <c r="U344" s="30">
        <f>120000</f>
        <v>120000</v>
      </c>
      <c r="V344" s="30">
        <f>86749184</f>
        <v>86749184</v>
      </c>
      <c r="W344" s="30">
        <f>80340000</f>
        <v>80340000</v>
      </c>
      <c r="X344" s="34">
        <f>10</f>
        <v>10</v>
      </c>
    </row>
    <row r="345" spans="1:24">
      <c r="A345" s="25" t="s">
        <v>1144</v>
      </c>
      <c r="B345" s="25" t="s">
        <v>815</v>
      </c>
      <c r="C345" s="25" t="s">
        <v>816</v>
      </c>
      <c r="D345" s="25" t="s">
        <v>817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</v>
      </c>
      <c r="K345" s="31">
        <f>1509</f>
        <v>1509</v>
      </c>
      <c r="L345" s="32" t="s">
        <v>1110</v>
      </c>
      <c r="M345" s="31">
        <f>1512</f>
        <v>1512</v>
      </c>
      <c r="N345" s="32" t="s">
        <v>1110</v>
      </c>
      <c r="O345" s="31">
        <f>1337</f>
        <v>1337</v>
      </c>
      <c r="P345" s="32" t="s">
        <v>680</v>
      </c>
      <c r="Q345" s="31">
        <f>1430</f>
        <v>1430</v>
      </c>
      <c r="R345" s="32" t="s">
        <v>777</v>
      </c>
      <c r="S345" s="33">
        <f>1443.76</f>
        <v>1443.76</v>
      </c>
      <c r="T345" s="30">
        <f>411895</f>
        <v>411895</v>
      </c>
      <c r="U345" s="30" t="str">
        <f>"－"</f>
        <v>－</v>
      </c>
      <c r="V345" s="30">
        <f>588937159</f>
        <v>588937159</v>
      </c>
      <c r="W345" s="30" t="str">
        <f>"－"</f>
        <v>－</v>
      </c>
      <c r="X345" s="34">
        <f>21</f>
        <v>21</v>
      </c>
    </row>
    <row r="346" spans="1:24">
      <c r="A346" s="25" t="s">
        <v>1144</v>
      </c>
      <c r="B346" s="25" t="s">
        <v>818</v>
      </c>
      <c r="C346" s="25" t="s">
        <v>819</v>
      </c>
      <c r="D346" s="25" t="s">
        <v>820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923</f>
        <v>923</v>
      </c>
      <c r="L346" s="32" t="s">
        <v>1110</v>
      </c>
      <c r="M346" s="31">
        <f>930</f>
        <v>930</v>
      </c>
      <c r="N346" s="32" t="s">
        <v>759</v>
      </c>
      <c r="O346" s="31">
        <f>898</f>
        <v>898</v>
      </c>
      <c r="P346" s="32" t="s">
        <v>674</v>
      </c>
      <c r="Q346" s="31">
        <f>921</f>
        <v>921</v>
      </c>
      <c r="R346" s="32" t="s">
        <v>777</v>
      </c>
      <c r="S346" s="33">
        <f>915.24</f>
        <v>915.24</v>
      </c>
      <c r="T346" s="30">
        <f>151867</f>
        <v>151867</v>
      </c>
      <c r="U346" s="30" t="str">
        <f>"－"</f>
        <v>－</v>
      </c>
      <c r="V346" s="30">
        <f>139016304</f>
        <v>139016304</v>
      </c>
      <c r="W346" s="30" t="str">
        <f>"－"</f>
        <v>－</v>
      </c>
      <c r="X346" s="34">
        <f>21</f>
        <v>21</v>
      </c>
    </row>
    <row r="347" spans="1:24">
      <c r="A347" s="25" t="s">
        <v>1144</v>
      </c>
      <c r="B347" s="25" t="s">
        <v>821</v>
      </c>
      <c r="C347" s="25" t="s">
        <v>822</v>
      </c>
      <c r="D347" s="25" t="s">
        <v>823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10</v>
      </c>
      <c r="K347" s="31">
        <f>710.5</f>
        <v>710.5</v>
      </c>
      <c r="L347" s="32" t="s">
        <v>1110</v>
      </c>
      <c r="M347" s="31">
        <f>730</f>
        <v>730</v>
      </c>
      <c r="N347" s="32" t="s">
        <v>876</v>
      </c>
      <c r="O347" s="31">
        <f>689.9</f>
        <v>689.9</v>
      </c>
      <c r="P347" s="32" t="s">
        <v>676</v>
      </c>
      <c r="Q347" s="31">
        <f>692.5</f>
        <v>692.5</v>
      </c>
      <c r="R347" s="32" t="s">
        <v>777</v>
      </c>
      <c r="S347" s="33">
        <f>697.93</f>
        <v>697.93</v>
      </c>
      <c r="T347" s="30">
        <f>15080780</f>
        <v>15080780</v>
      </c>
      <c r="U347" s="30">
        <f>14003000</f>
        <v>14003000</v>
      </c>
      <c r="V347" s="30">
        <f>10564464668</f>
        <v>10564464668</v>
      </c>
      <c r="W347" s="30">
        <f>9808524100</f>
        <v>9808524100</v>
      </c>
      <c r="X347" s="34">
        <f>21</f>
        <v>21</v>
      </c>
    </row>
    <row r="348" spans="1:24">
      <c r="A348" s="25" t="s">
        <v>1144</v>
      </c>
      <c r="B348" s="25" t="s">
        <v>824</v>
      </c>
      <c r="C348" s="25" t="s">
        <v>825</v>
      </c>
      <c r="D348" s="25" t="s">
        <v>826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699.7</f>
        <v>699.7</v>
      </c>
      <c r="L348" s="32" t="s">
        <v>1110</v>
      </c>
      <c r="M348" s="31">
        <f>701.5</f>
        <v>701.5</v>
      </c>
      <c r="N348" s="32" t="s">
        <v>876</v>
      </c>
      <c r="O348" s="31">
        <f>676.8</f>
        <v>676.8</v>
      </c>
      <c r="P348" s="32" t="s">
        <v>676</v>
      </c>
      <c r="Q348" s="31">
        <f>684.2</f>
        <v>684.2</v>
      </c>
      <c r="R348" s="32" t="s">
        <v>777</v>
      </c>
      <c r="S348" s="33">
        <f>688.55</f>
        <v>688.55</v>
      </c>
      <c r="T348" s="30">
        <f>4549170</f>
        <v>4549170</v>
      </c>
      <c r="U348" s="30">
        <f>4503050</f>
        <v>4503050</v>
      </c>
      <c r="V348" s="30">
        <f>3142191381</f>
        <v>3142191381</v>
      </c>
      <c r="W348" s="30">
        <f>3110462519</f>
        <v>3110462519</v>
      </c>
      <c r="X348" s="34">
        <f>21</f>
        <v>21</v>
      </c>
    </row>
    <row r="349" spans="1:24">
      <c r="A349" s="25" t="s">
        <v>1144</v>
      </c>
      <c r="B349" s="25" t="s">
        <v>827</v>
      </c>
      <c r="C349" s="25" t="s">
        <v>828</v>
      </c>
      <c r="D349" s="25" t="s">
        <v>829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1250</f>
        <v>1250</v>
      </c>
      <c r="L349" s="32" t="s">
        <v>1110</v>
      </c>
      <c r="M349" s="31">
        <f>1269</f>
        <v>1269</v>
      </c>
      <c r="N349" s="32" t="s">
        <v>875</v>
      </c>
      <c r="O349" s="31">
        <f>1180</f>
        <v>1180</v>
      </c>
      <c r="P349" s="32" t="s">
        <v>680</v>
      </c>
      <c r="Q349" s="31">
        <f>1231</f>
        <v>1231</v>
      </c>
      <c r="R349" s="32" t="s">
        <v>777</v>
      </c>
      <c r="S349" s="33">
        <f>1230.76</f>
        <v>1230.76</v>
      </c>
      <c r="T349" s="30">
        <f>1638983</f>
        <v>1638983</v>
      </c>
      <c r="U349" s="30">
        <f>1466350</f>
        <v>1466350</v>
      </c>
      <c r="V349" s="30">
        <f>1980063094</f>
        <v>1980063094</v>
      </c>
      <c r="W349" s="30">
        <f>1767622570</f>
        <v>1767622570</v>
      </c>
      <c r="X349" s="34">
        <f>21</f>
        <v>21</v>
      </c>
    </row>
    <row r="350" spans="1:24">
      <c r="A350" s="25" t="s">
        <v>1144</v>
      </c>
      <c r="B350" s="25" t="s">
        <v>836</v>
      </c>
      <c r="C350" s="25" t="s">
        <v>837</v>
      </c>
      <c r="D350" s="25" t="s">
        <v>838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10</v>
      </c>
      <c r="K350" s="31">
        <f>2738.5</f>
        <v>2738.5</v>
      </c>
      <c r="L350" s="32" t="s">
        <v>1110</v>
      </c>
      <c r="M350" s="31">
        <f>2748.5</f>
        <v>2748.5</v>
      </c>
      <c r="N350" s="32" t="s">
        <v>1110</v>
      </c>
      <c r="O350" s="31">
        <f>2562</f>
        <v>2562</v>
      </c>
      <c r="P350" s="32" t="s">
        <v>680</v>
      </c>
      <c r="Q350" s="31">
        <f>2658</f>
        <v>2658</v>
      </c>
      <c r="R350" s="32" t="s">
        <v>777</v>
      </c>
      <c r="S350" s="33">
        <f>2661.86</f>
        <v>2661.86</v>
      </c>
      <c r="T350" s="30">
        <f>405380</f>
        <v>405380</v>
      </c>
      <c r="U350" s="30">
        <f>370000</f>
        <v>370000</v>
      </c>
      <c r="V350" s="30">
        <f>1083913285</f>
        <v>1083913285</v>
      </c>
      <c r="W350" s="30">
        <f>990194000</f>
        <v>990194000</v>
      </c>
      <c r="X350" s="34">
        <f>21</f>
        <v>21</v>
      </c>
    </row>
    <row r="351" spans="1:24">
      <c r="A351" s="25" t="s">
        <v>1144</v>
      </c>
      <c r="B351" s="25" t="s">
        <v>839</v>
      </c>
      <c r="C351" s="25" t="s">
        <v>840</v>
      </c>
      <c r="D351" s="25" t="s">
        <v>841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10</v>
      </c>
      <c r="K351" s="31">
        <f>2682</f>
        <v>2682</v>
      </c>
      <c r="L351" s="32" t="s">
        <v>1110</v>
      </c>
      <c r="M351" s="31">
        <f>2720</f>
        <v>2720</v>
      </c>
      <c r="N351" s="32" t="s">
        <v>1110</v>
      </c>
      <c r="O351" s="31">
        <f>2471</f>
        <v>2471</v>
      </c>
      <c r="P351" s="32" t="s">
        <v>680</v>
      </c>
      <c r="Q351" s="31">
        <f>2571</f>
        <v>2571</v>
      </c>
      <c r="R351" s="32" t="s">
        <v>777</v>
      </c>
      <c r="S351" s="33">
        <f>2571.83</f>
        <v>2571.83</v>
      </c>
      <c r="T351" s="30">
        <f>17360</f>
        <v>17360</v>
      </c>
      <c r="U351" s="30" t="str">
        <f>"－"</f>
        <v>－</v>
      </c>
      <c r="V351" s="30">
        <f>44731100</f>
        <v>44731100</v>
      </c>
      <c r="W351" s="30" t="str">
        <f>"－"</f>
        <v>－</v>
      </c>
      <c r="X351" s="34">
        <f>21</f>
        <v>21</v>
      </c>
    </row>
    <row r="352" spans="1:24">
      <c r="A352" s="25" t="s">
        <v>1144</v>
      </c>
      <c r="B352" s="25" t="s">
        <v>830</v>
      </c>
      <c r="C352" s="25" t="s">
        <v>831</v>
      </c>
      <c r="D352" s="25" t="s">
        <v>832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10</v>
      </c>
      <c r="K352" s="31">
        <f>5419</f>
        <v>5419</v>
      </c>
      <c r="L352" s="32" t="s">
        <v>1110</v>
      </c>
      <c r="M352" s="31">
        <f>5500</f>
        <v>5500</v>
      </c>
      <c r="N352" s="32" t="s">
        <v>777</v>
      </c>
      <c r="O352" s="31">
        <f>5320</f>
        <v>5320</v>
      </c>
      <c r="P352" s="32" t="s">
        <v>874</v>
      </c>
      <c r="Q352" s="31">
        <f>5495</f>
        <v>5495</v>
      </c>
      <c r="R352" s="32" t="s">
        <v>777</v>
      </c>
      <c r="S352" s="33">
        <f>5402.2</f>
        <v>5402.2</v>
      </c>
      <c r="T352" s="30">
        <f>89460</f>
        <v>89460</v>
      </c>
      <c r="U352" s="30">
        <f>15800</f>
        <v>15800</v>
      </c>
      <c r="V352" s="30">
        <f>482474772</f>
        <v>482474772</v>
      </c>
      <c r="W352" s="30">
        <f>85987042</f>
        <v>85987042</v>
      </c>
      <c r="X352" s="34">
        <f>15</f>
        <v>15</v>
      </c>
    </row>
    <row r="353" spans="1:24">
      <c r="A353" s="25" t="s">
        <v>1144</v>
      </c>
      <c r="B353" s="25" t="s">
        <v>833</v>
      </c>
      <c r="C353" s="25" t="s">
        <v>834</v>
      </c>
      <c r="D353" s="25" t="s">
        <v>835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10</v>
      </c>
      <c r="K353" s="31">
        <f>4339</f>
        <v>4339</v>
      </c>
      <c r="L353" s="32" t="s">
        <v>1110</v>
      </c>
      <c r="M353" s="31">
        <f>4339</f>
        <v>4339</v>
      </c>
      <c r="N353" s="32" t="s">
        <v>1110</v>
      </c>
      <c r="O353" s="31">
        <f>4238</f>
        <v>4238</v>
      </c>
      <c r="P353" s="32" t="s">
        <v>676</v>
      </c>
      <c r="Q353" s="31">
        <f>4271</f>
        <v>4271</v>
      </c>
      <c r="R353" s="32" t="s">
        <v>777</v>
      </c>
      <c r="S353" s="33">
        <f>4295.14</f>
        <v>4295.1400000000003</v>
      </c>
      <c r="T353" s="30">
        <f>563580</f>
        <v>563580</v>
      </c>
      <c r="U353" s="30">
        <f>556190</f>
        <v>556190</v>
      </c>
      <c r="V353" s="30">
        <f>2413428056</f>
        <v>2413428056</v>
      </c>
      <c r="W353" s="30">
        <f>2381610856</f>
        <v>2381610856</v>
      </c>
      <c r="X353" s="34">
        <f>14</f>
        <v>14</v>
      </c>
    </row>
    <row r="354" spans="1:24">
      <c r="A354" s="25" t="s">
        <v>1144</v>
      </c>
      <c r="B354" s="25" t="s">
        <v>842</v>
      </c>
      <c r="C354" s="25" t="s">
        <v>843</v>
      </c>
      <c r="D354" s="25" t="s">
        <v>844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10</v>
      </c>
      <c r="K354" s="31">
        <f>1938.5</f>
        <v>1938.5</v>
      </c>
      <c r="L354" s="32" t="s">
        <v>1110</v>
      </c>
      <c r="M354" s="31">
        <f>1938.5</f>
        <v>1938.5</v>
      </c>
      <c r="N354" s="32" t="s">
        <v>1110</v>
      </c>
      <c r="O354" s="31">
        <f>1851.5</f>
        <v>1851.5</v>
      </c>
      <c r="P354" s="32" t="s">
        <v>778</v>
      </c>
      <c r="Q354" s="31">
        <f>1855</f>
        <v>1855</v>
      </c>
      <c r="R354" s="32" t="s">
        <v>679</v>
      </c>
      <c r="S354" s="33">
        <f>1879.25</f>
        <v>1879.25</v>
      </c>
      <c r="T354" s="30">
        <f>3400</f>
        <v>3400</v>
      </c>
      <c r="U354" s="30" t="str">
        <f>"－"</f>
        <v>－</v>
      </c>
      <c r="V354" s="30">
        <f>6348360</f>
        <v>6348360</v>
      </c>
      <c r="W354" s="30" t="str">
        <f>"－"</f>
        <v>－</v>
      </c>
      <c r="X354" s="34">
        <f>12</f>
        <v>12</v>
      </c>
    </row>
    <row r="355" spans="1:24">
      <c r="A355" s="25" t="s">
        <v>1144</v>
      </c>
      <c r="B355" s="25" t="s">
        <v>845</v>
      </c>
      <c r="C355" s="25" t="s">
        <v>846</v>
      </c>
      <c r="D355" s="25" t="s">
        <v>847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</v>
      </c>
      <c r="K355" s="31">
        <f>1422</f>
        <v>1422</v>
      </c>
      <c r="L355" s="32" t="s">
        <v>1110</v>
      </c>
      <c r="M355" s="31">
        <f>1422</f>
        <v>1422</v>
      </c>
      <c r="N355" s="32" t="s">
        <v>1110</v>
      </c>
      <c r="O355" s="31">
        <f>1217</f>
        <v>1217</v>
      </c>
      <c r="P355" s="32" t="s">
        <v>680</v>
      </c>
      <c r="Q355" s="31">
        <f>1277</f>
        <v>1277</v>
      </c>
      <c r="R355" s="32" t="s">
        <v>777</v>
      </c>
      <c r="S355" s="33">
        <f>1311.86</f>
        <v>1311.86</v>
      </c>
      <c r="T355" s="30">
        <f>6240</f>
        <v>6240</v>
      </c>
      <c r="U355" s="30" t="str">
        <f>"－"</f>
        <v>－</v>
      </c>
      <c r="V355" s="30">
        <f>8230783</f>
        <v>8230783</v>
      </c>
      <c r="W355" s="30" t="str">
        <f>"－"</f>
        <v>－</v>
      </c>
      <c r="X355" s="34">
        <f>21</f>
        <v>21</v>
      </c>
    </row>
    <row r="356" spans="1:24">
      <c r="A356" s="25" t="s">
        <v>1144</v>
      </c>
      <c r="B356" s="25" t="s">
        <v>848</v>
      </c>
      <c r="C356" s="25" t="s">
        <v>849</v>
      </c>
      <c r="D356" s="25" t="s">
        <v>850</v>
      </c>
      <c r="E356" s="26" t="s">
        <v>43</v>
      </c>
      <c r="F356" s="27" t="s">
        <v>43</v>
      </c>
      <c r="G356" s="28" t="s">
        <v>43</v>
      </c>
      <c r="H356" s="29"/>
      <c r="I356" s="29" t="s">
        <v>44</v>
      </c>
      <c r="J356" s="30">
        <v>1</v>
      </c>
      <c r="K356" s="31">
        <f>1207</f>
        <v>1207</v>
      </c>
      <c r="L356" s="32" t="s">
        <v>1110</v>
      </c>
      <c r="M356" s="31">
        <f>1208</f>
        <v>1208</v>
      </c>
      <c r="N356" s="32" t="s">
        <v>1110</v>
      </c>
      <c r="O356" s="31">
        <f>1151</f>
        <v>1151</v>
      </c>
      <c r="P356" s="32" t="s">
        <v>680</v>
      </c>
      <c r="Q356" s="31">
        <f>1201</f>
        <v>1201</v>
      </c>
      <c r="R356" s="32" t="s">
        <v>777</v>
      </c>
      <c r="S356" s="33">
        <f>1191.1</f>
        <v>1191.0999999999999</v>
      </c>
      <c r="T356" s="30">
        <f>2846014</f>
        <v>2846014</v>
      </c>
      <c r="U356" s="30">
        <f>852327</f>
        <v>852327</v>
      </c>
      <c r="V356" s="30">
        <f>3359555583</f>
        <v>3359555583</v>
      </c>
      <c r="W356" s="30">
        <f>995372737</f>
        <v>995372737</v>
      </c>
      <c r="X356" s="34">
        <f>21</f>
        <v>21</v>
      </c>
    </row>
    <row r="357" spans="1:24">
      <c r="A357" s="25" t="s">
        <v>1144</v>
      </c>
      <c r="B357" s="25" t="s">
        <v>851</v>
      </c>
      <c r="C357" s="25" t="s">
        <v>852</v>
      </c>
      <c r="D357" s="25" t="s">
        <v>853</v>
      </c>
      <c r="E357" s="26" t="s">
        <v>43</v>
      </c>
      <c r="F357" s="27" t="s">
        <v>43</v>
      </c>
      <c r="G357" s="28" t="s">
        <v>43</v>
      </c>
      <c r="H357" s="29"/>
      <c r="I357" s="29" t="s">
        <v>44</v>
      </c>
      <c r="J357" s="30">
        <v>1</v>
      </c>
      <c r="K357" s="31">
        <f>1032</f>
        <v>1032</v>
      </c>
      <c r="L357" s="32" t="s">
        <v>1110</v>
      </c>
      <c r="M357" s="31">
        <f>1045</f>
        <v>1045</v>
      </c>
      <c r="N357" s="32" t="s">
        <v>1113</v>
      </c>
      <c r="O357" s="31">
        <f>990</f>
        <v>990</v>
      </c>
      <c r="P357" s="32" t="s">
        <v>680</v>
      </c>
      <c r="Q357" s="31">
        <f>1030</f>
        <v>1030</v>
      </c>
      <c r="R357" s="32" t="s">
        <v>777</v>
      </c>
      <c r="S357" s="33">
        <f>1015.57</f>
        <v>1015.57</v>
      </c>
      <c r="T357" s="30">
        <f>993516</f>
        <v>993516</v>
      </c>
      <c r="U357" s="30">
        <f>36</f>
        <v>36</v>
      </c>
      <c r="V357" s="30">
        <f>1006008574</f>
        <v>1006008574</v>
      </c>
      <c r="W357" s="30">
        <f>35580</f>
        <v>35580</v>
      </c>
      <c r="X357" s="34">
        <f>21</f>
        <v>21</v>
      </c>
    </row>
    <row r="358" spans="1:24">
      <c r="A358" s="25" t="s">
        <v>1144</v>
      </c>
      <c r="B358" s="25" t="s">
        <v>858</v>
      </c>
      <c r="C358" s="25" t="s">
        <v>859</v>
      </c>
      <c r="D358" s="25" t="s">
        <v>860</v>
      </c>
      <c r="E358" s="26" t="s">
        <v>43</v>
      </c>
      <c r="F358" s="27" t="s">
        <v>43</v>
      </c>
      <c r="G358" s="28" t="s">
        <v>43</v>
      </c>
      <c r="H358" s="29"/>
      <c r="I358" s="29" t="s">
        <v>44</v>
      </c>
      <c r="J358" s="30">
        <v>1</v>
      </c>
      <c r="K358" s="31">
        <f>1200</f>
        <v>1200</v>
      </c>
      <c r="L358" s="32" t="s">
        <v>1110</v>
      </c>
      <c r="M358" s="31">
        <f>1200</f>
        <v>1200</v>
      </c>
      <c r="N358" s="32" t="s">
        <v>1110</v>
      </c>
      <c r="O358" s="31">
        <f>1080</f>
        <v>1080</v>
      </c>
      <c r="P358" s="32" t="s">
        <v>680</v>
      </c>
      <c r="Q358" s="31">
        <f>1170</f>
        <v>1170</v>
      </c>
      <c r="R358" s="32" t="s">
        <v>777</v>
      </c>
      <c r="S358" s="33">
        <f>1150.05</f>
        <v>1150.05</v>
      </c>
      <c r="T358" s="30">
        <f>13439</f>
        <v>13439</v>
      </c>
      <c r="U358" s="30" t="str">
        <f>"－"</f>
        <v>－</v>
      </c>
      <c r="V358" s="30">
        <f>15546898</f>
        <v>15546898</v>
      </c>
      <c r="W358" s="30" t="str">
        <f>"－"</f>
        <v>－</v>
      </c>
      <c r="X358" s="34">
        <f>21</f>
        <v>21</v>
      </c>
    </row>
    <row r="359" spans="1:24">
      <c r="A359" s="25" t="s">
        <v>1144</v>
      </c>
      <c r="B359" s="25" t="s">
        <v>861</v>
      </c>
      <c r="C359" s="25" t="s">
        <v>862</v>
      </c>
      <c r="D359" s="25" t="s">
        <v>863</v>
      </c>
      <c r="E359" s="26" t="s">
        <v>43</v>
      </c>
      <c r="F359" s="27" t="s">
        <v>43</v>
      </c>
      <c r="G359" s="28" t="s">
        <v>43</v>
      </c>
      <c r="H359" s="29"/>
      <c r="I359" s="29" t="s">
        <v>44</v>
      </c>
      <c r="J359" s="30">
        <v>1</v>
      </c>
      <c r="K359" s="31">
        <f>1083</f>
        <v>1083</v>
      </c>
      <c r="L359" s="32" t="s">
        <v>1110</v>
      </c>
      <c r="M359" s="31">
        <f>1107</f>
        <v>1107</v>
      </c>
      <c r="N359" s="32" t="s">
        <v>677</v>
      </c>
      <c r="O359" s="31">
        <f>1041</f>
        <v>1041</v>
      </c>
      <c r="P359" s="32" t="s">
        <v>680</v>
      </c>
      <c r="Q359" s="31">
        <f>1088</f>
        <v>1088</v>
      </c>
      <c r="R359" s="32" t="s">
        <v>777</v>
      </c>
      <c r="S359" s="33">
        <f>1074.05</f>
        <v>1074.05</v>
      </c>
      <c r="T359" s="30">
        <f>313309</f>
        <v>313309</v>
      </c>
      <c r="U359" s="30">
        <f>10</f>
        <v>10</v>
      </c>
      <c r="V359" s="30">
        <f>334973963</f>
        <v>334973963</v>
      </c>
      <c r="W359" s="30">
        <f>10850</f>
        <v>10850</v>
      </c>
      <c r="X359" s="34">
        <f>21</f>
        <v>21</v>
      </c>
    </row>
    <row r="360" spans="1:24">
      <c r="A360" s="25" t="s">
        <v>1144</v>
      </c>
      <c r="B360" s="25" t="s">
        <v>864</v>
      </c>
      <c r="C360" s="25" t="s">
        <v>865</v>
      </c>
      <c r="D360" s="25" t="s">
        <v>950</v>
      </c>
      <c r="E360" s="26" t="s">
        <v>43</v>
      </c>
      <c r="F360" s="27" t="s">
        <v>43</v>
      </c>
      <c r="G360" s="28" t="s">
        <v>43</v>
      </c>
      <c r="H360" s="29"/>
      <c r="I360" s="29" t="s">
        <v>44</v>
      </c>
      <c r="J360" s="30">
        <v>1</v>
      </c>
      <c r="K360" s="31">
        <f>40190</f>
        <v>40190</v>
      </c>
      <c r="L360" s="32" t="s">
        <v>1110</v>
      </c>
      <c r="M360" s="31">
        <f>40200</f>
        <v>40200</v>
      </c>
      <c r="N360" s="32" t="s">
        <v>1110</v>
      </c>
      <c r="O360" s="31">
        <f>34000</f>
        <v>34000</v>
      </c>
      <c r="P360" s="32" t="s">
        <v>680</v>
      </c>
      <c r="Q360" s="31">
        <f>36790</f>
        <v>36790</v>
      </c>
      <c r="R360" s="32" t="s">
        <v>777</v>
      </c>
      <c r="S360" s="33">
        <f>37370.48</f>
        <v>37370.480000000003</v>
      </c>
      <c r="T360" s="30">
        <f>328356</f>
        <v>328356</v>
      </c>
      <c r="U360" s="30">
        <f>48</f>
        <v>48</v>
      </c>
      <c r="V360" s="30">
        <f>12133612260</f>
        <v>12133612260</v>
      </c>
      <c r="W360" s="30">
        <f>1865900</f>
        <v>1865900</v>
      </c>
      <c r="X360" s="34">
        <f>21</f>
        <v>21</v>
      </c>
    </row>
    <row r="361" spans="1:24">
      <c r="A361" s="25" t="s">
        <v>1144</v>
      </c>
      <c r="B361" s="25" t="s">
        <v>866</v>
      </c>
      <c r="C361" s="25" t="s">
        <v>867</v>
      </c>
      <c r="D361" s="25" t="s">
        <v>951</v>
      </c>
      <c r="E361" s="26" t="s">
        <v>43</v>
      </c>
      <c r="F361" s="27" t="s">
        <v>43</v>
      </c>
      <c r="G361" s="28" t="s">
        <v>43</v>
      </c>
      <c r="H361" s="29"/>
      <c r="I361" s="29" t="s">
        <v>44</v>
      </c>
      <c r="J361" s="30">
        <v>1</v>
      </c>
      <c r="K361" s="31">
        <f>23245</f>
        <v>23245</v>
      </c>
      <c r="L361" s="32" t="s">
        <v>1110</v>
      </c>
      <c r="M361" s="31">
        <f>27255</f>
        <v>27255</v>
      </c>
      <c r="N361" s="32" t="s">
        <v>680</v>
      </c>
      <c r="O361" s="31">
        <f>23215</f>
        <v>23215</v>
      </c>
      <c r="P361" s="32" t="s">
        <v>1110</v>
      </c>
      <c r="Q361" s="31">
        <f>25085</f>
        <v>25085</v>
      </c>
      <c r="R361" s="32" t="s">
        <v>777</v>
      </c>
      <c r="S361" s="33">
        <f>24947.62</f>
        <v>24947.62</v>
      </c>
      <c r="T361" s="30">
        <f>299713</f>
        <v>299713</v>
      </c>
      <c r="U361" s="30">
        <f>309</f>
        <v>309</v>
      </c>
      <c r="V361" s="30">
        <f>7687990510</f>
        <v>7687990510</v>
      </c>
      <c r="W361" s="30">
        <f>7720290</f>
        <v>7720290</v>
      </c>
      <c r="X361" s="34">
        <f>21</f>
        <v>21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F41F-5CBF-4D67-B697-E43951333EE5}">
  <sheetPr>
    <pageSetUpPr fitToPage="1"/>
  </sheetPr>
  <dimension ref="A1:X355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1128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2832</f>
        <v>2832</v>
      </c>
      <c r="L7" s="32" t="s">
        <v>1110</v>
      </c>
      <c r="M7" s="31">
        <f>2983</f>
        <v>2983</v>
      </c>
      <c r="N7" s="32" t="s">
        <v>874</v>
      </c>
      <c r="O7" s="31">
        <f>2769.5</f>
        <v>2769.5</v>
      </c>
      <c r="P7" s="32" t="s">
        <v>677</v>
      </c>
      <c r="Q7" s="31">
        <f>2961</f>
        <v>2961</v>
      </c>
      <c r="R7" s="32" t="s">
        <v>883</v>
      </c>
      <c r="S7" s="33">
        <f>2890.45</f>
        <v>2890.45</v>
      </c>
      <c r="T7" s="30">
        <f>11886540</f>
        <v>11886540</v>
      </c>
      <c r="U7" s="30">
        <f>8308680</f>
        <v>8308680</v>
      </c>
      <c r="V7" s="30">
        <f>34586918865</f>
        <v>34586918865</v>
      </c>
      <c r="W7" s="30">
        <f>24267739995</f>
        <v>24267739995</v>
      </c>
      <c r="X7" s="34">
        <f>20</f>
        <v>20</v>
      </c>
    </row>
    <row r="8" spans="1:24">
      <c r="A8" s="25" t="s">
        <v>1128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2802</f>
        <v>2802</v>
      </c>
      <c r="L8" s="32" t="s">
        <v>1110</v>
      </c>
      <c r="M8" s="31">
        <f>2953.5</f>
        <v>2953.5</v>
      </c>
      <c r="N8" s="32" t="s">
        <v>874</v>
      </c>
      <c r="O8" s="31">
        <f>2739.5</f>
        <v>2739.5</v>
      </c>
      <c r="P8" s="32" t="s">
        <v>677</v>
      </c>
      <c r="Q8" s="31">
        <f>2925.5</f>
        <v>2925.5</v>
      </c>
      <c r="R8" s="32" t="s">
        <v>883</v>
      </c>
      <c r="S8" s="33">
        <f>2859.38</f>
        <v>2859.38</v>
      </c>
      <c r="T8" s="30">
        <f>57257330</f>
        <v>57257330</v>
      </c>
      <c r="U8" s="30">
        <f>15413930</f>
        <v>15413930</v>
      </c>
      <c r="V8" s="30">
        <f>163778167402</f>
        <v>163778167402</v>
      </c>
      <c r="W8" s="30">
        <f>44297492157</f>
        <v>44297492157</v>
      </c>
      <c r="X8" s="34">
        <f>20</f>
        <v>20</v>
      </c>
    </row>
    <row r="9" spans="1:24">
      <c r="A9" s="25" t="s">
        <v>1128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2767</f>
        <v>2767</v>
      </c>
      <c r="L9" s="32" t="s">
        <v>1110</v>
      </c>
      <c r="M9" s="31">
        <f>2918</f>
        <v>2918</v>
      </c>
      <c r="N9" s="32" t="s">
        <v>874</v>
      </c>
      <c r="O9" s="31">
        <f>2707</f>
        <v>2707</v>
      </c>
      <c r="P9" s="32" t="s">
        <v>677</v>
      </c>
      <c r="Q9" s="31">
        <f>2892</f>
        <v>2892</v>
      </c>
      <c r="R9" s="32" t="s">
        <v>883</v>
      </c>
      <c r="S9" s="33">
        <f>2826.15</f>
        <v>2826.15</v>
      </c>
      <c r="T9" s="30">
        <f>26103903</f>
        <v>26103903</v>
      </c>
      <c r="U9" s="30">
        <f>12703439</f>
        <v>12703439</v>
      </c>
      <c r="V9" s="30">
        <f>74083228759</f>
        <v>74083228759</v>
      </c>
      <c r="W9" s="30">
        <f>36163349840</f>
        <v>36163349840</v>
      </c>
      <c r="X9" s="34">
        <f>20</f>
        <v>20</v>
      </c>
    </row>
    <row r="10" spans="1:24">
      <c r="A10" s="25" t="s">
        <v>1128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38500</f>
        <v>38500</v>
      </c>
      <c r="L10" s="32" t="s">
        <v>1110</v>
      </c>
      <c r="M10" s="31">
        <f>39620</f>
        <v>39620</v>
      </c>
      <c r="N10" s="32" t="s">
        <v>1112</v>
      </c>
      <c r="O10" s="31">
        <f>38000</f>
        <v>38000</v>
      </c>
      <c r="P10" s="32" t="s">
        <v>684</v>
      </c>
      <c r="Q10" s="31">
        <f>39080</f>
        <v>39080</v>
      </c>
      <c r="R10" s="32" t="s">
        <v>883</v>
      </c>
      <c r="S10" s="33">
        <f>38906</f>
        <v>38906</v>
      </c>
      <c r="T10" s="30">
        <f>3221</f>
        <v>3221</v>
      </c>
      <c r="U10" s="30" t="str">
        <f>"－"</f>
        <v>－</v>
      </c>
      <c r="V10" s="30">
        <f>125326830</f>
        <v>125326830</v>
      </c>
      <c r="W10" s="30" t="str">
        <f>"－"</f>
        <v>－</v>
      </c>
      <c r="X10" s="34">
        <f>20</f>
        <v>20</v>
      </c>
    </row>
    <row r="11" spans="1:24">
      <c r="A11" s="25" t="s">
        <v>1128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1417</f>
        <v>1417</v>
      </c>
      <c r="L11" s="32" t="s">
        <v>1110</v>
      </c>
      <c r="M11" s="31">
        <f>1494</f>
        <v>1494</v>
      </c>
      <c r="N11" s="32" t="s">
        <v>679</v>
      </c>
      <c r="O11" s="31">
        <f>1371</f>
        <v>1371</v>
      </c>
      <c r="P11" s="32" t="s">
        <v>875</v>
      </c>
      <c r="Q11" s="31">
        <f>1467</f>
        <v>1467</v>
      </c>
      <c r="R11" s="32" t="s">
        <v>883</v>
      </c>
      <c r="S11" s="33">
        <f>1440.63</f>
        <v>1440.63</v>
      </c>
      <c r="T11" s="30">
        <f>598350</f>
        <v>598350</v>
      </c>
      <c r="U11" s="30" t="str">
        <f>"－"</f>
        <v>－</v>
      </c>
      <c r="V11" s="30">
        <f>864027825</f>
        <v>864027825</v>
      </c>
      <c r="W11" s="30" t="str">
        <f>"－"</f>
        <v>－</v>
      </c>
      <c r="X11" s="34">
        <f>20</f>
        <v>20</v>
      </c>
    </row>
    <row r="12" spans="1:24">
      <c r="A12" s="25" t="s">
        <v>1128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489</f>
        <v>489</v>
      </c>
      <c r="L12" s="32" t="s">
        <v>1110</v>
      </c>
      <c r="M12" s="31">
        <f>517.9</f>
        <v>517.9</v>
      </c>
      <c r="N12" s="32" t="s">
        <v>675</v>
      </c>
      <c r="O12" s="31">
        <f>469.2</f>
        <v>469.2</v>
      </c>
      <c r="P12" s="32" t="s">
        <v>677</v>
      </c>
      <c r="Q12" s="31">
        <f>495</f>
        <v>495</v>
      </c>
      <c r="R12" s="32" t="s">
        <v>1114</v>
      </c>
      <c r="S12" s="33">
        <f>495.04</f>
        <v>495.04</v>
      </c>
      <c r="T12" s="30">
        <f>123000</f>
        <v>123000</v>
      </c>
      <c r="U12" s="30">
        <f>1000</f>
        <v>1000</v>
      </c>
      <c r="V12" s="30">
        <f>61123500</f>
        <v>61123500</v>
      </c>
      <c r="W12" s="30">
        <f>484000</f>
        <v>484000</v>
      </c>
      <c r="X12" s="34">
        <f>19</f>
        <v>19</v>
      </c>
    </row>
    <row r="13" spans="1:24">
      <c r="A13" s="25" t="s">
        <v>1128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40650</f>
        <v>40650</v>
      </c>
      <c r="L13" s="32" t="s">
        <v>1110</v>
      </c>
      <c r="M13" s="31">
        <f>42490</f>
        <v>42490</v>
      </c>
      <c r="N13" s="32" t="s">
        <v>874</v>
      </c>
      <c r="O13" s="31">
        <f>39590</f>
        <v>39590</v>
      </c>
      <c r="P13" s="32" t="s">
        <v>677</v>
      </c>
      <c r="Q13" s="31">
        <f>42080</f>
        <v>42080</v>
      </c>
      <c r="R13" s="32" t="s">
        <v>883</v>
      </c>
      <c r="S13" s="33">
        <f>41231</f>
        <v>41231</v>
      </c>
      <c r="T13" s="30">
        <f>1837861</f>
        <v>1837861</v>
      </c>
      <c r="U13" s="30">
        <f>1048896</f>
        <v>1048896</v>
      </c>
      <c r="V13" s="30">
        <f>75946731054</f>
        <v>75946731054</v>
      </c>
      <c r="W13" s="30">
        <f>43534244684</f>
        <v>43534244684</v>
      </c>
      <c r="X13" s="34">
        <f>20</f>
        <v>20</v>
      </c>
    </row>
    <row r="14" spans="1:24">
      <c r="A14" s="25" t="s">
        <v>1128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40810</f>
        <v>40810</v>
      </c>
      <c r="L14" s="32" t="s">
        <v>1110</v>
      </c>
      <c r="M14" s="31">
        <f>42640</f>
        <v>42640</v>
      </c>
      <c r="N14" s="32" t="s">
        <v>874</v>
      </c>
      <c r="O14" s="31">
        <f>39730</f>
        <v>39730</v>
      </c>
      <c r="P14" s="32" t="s">
        <v>677</v>
      </c>
      <c r="Q14" s="31">
        <f>42260</f>
        <v>42260</v>
      </c>
      <c r="R14" s="32" t="s">
        <v>883</v>
      </c>
      <c r="S14" s="33">
        <f>41380</f>
        <v>41380</v>
      </c>
      <c r="T14" s="30">
        <f>8810950</f>
        <v>8810950</v>
      </c>
      <c r="U14" s="30">
        <f>1166018</f>
        <v>1166018</v>
      </c>
      <c r="V14" s="30">
        <f>364232093762</f>
        <v>364232093762</v>
      </c>
      <c r="W14" s="30">
        <f>48576311692</f>
        <v>48576311692</v>
      </c>
      <c r="X14" s="34">
        <f>20</f>
        <v>20</v>
      </c>
    </row>
    <row r="15" spans="1:24">
      <c r="A15" s="25" t="s">
        <v>1128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7373</f>
        <v>7373</v>
      </c>
      <c r="L15" s="32" t="s">
        <v>1110</v>
      </c>
      <c r="M15" s="31">
        <f>7689</f>
        <v>7689</v>
      </c>
      <c r="N15" s="32" t="s">
        <v>874</v>
      </c>
      <c r="O15" s="31">
        <f>7158</f>
        <v>7158</v>
      </c>
      <c r="P15" s="32" t="s">
        <v>1113</v>
      </c>
      <c r="Q15" s="31">
        <f>7555</f>
        <v>7555</v>
      </c>
      <c r="R15" s="32" t="s">
        <v>883</v>
      </c>
      <c r="S15" s="33">
        <f>7492.4</f>
        <v>7492.4</v>
      </c>
      <c r="T15" s="30">
        <f>22820</f>
        <v>22820</v>
      </c>
      <c r="U15" s="30" t="str">
        <f>"－"</f>
        <v>－</v>
      </c>
      <c r="V15" s="30">
        <f>170373390</f>
        <v>170373390</v>
      </c>
      <c r="W15" s="30" t="str">
        <f>"－"</f>
        <v>－</v>
      </c>
      <c r="X15" s="34">
        <f>20</f>
        <v>20</v>
      </c>
    </row>
    <row r="16" spans="1:24">
      <c r="A16" s="25" t="s">
        <v>1128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1128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251</f>
        <v>251</v>
      </c>
      <c r="L17" s="32" t="s">
        <v>1110</v>
      </c>
      <c r="M17" s="31">
        <f>251</f>
        <v>251</v>
      </c>
      <c r="N17" s="32" t="s">
        <v>1110</v>
      </c>
      <c r="O17" s="31">
        <f>238.6</f>
        <v>238.6</v>
      </c>
      <c r="P17" s="32" t="s">
        <v>678</v>
      </c>
      <c r="Q17" s="31">
        <f>244.9</f>
        <v>244.9</v>
      </c>
      <c r="R17" s="32" t="s">
        <v>883</v>
      </c>
      <c r="S17" s="33">
        <f>244.59</f>
        <v>244.59</v>
      </c>
      <c r="T17" s="30">
        <f>860400</f>
        <v>860400</v>
      </c>
      <c r="U17" s="30" t="str">
        <f>"－"</f>
        <v>－</v>
      </c>
      <c r="V17" s="30">
        <f>210162080</f>
        <v>210162080</v>
      </c>
      <c r="W17" s="30" t="str">
        <f>"－"</f>
        <v>－</v>
      </c>
      <c r="X17" s="34">
        <f>20</f>
        <v>20</v>
      </c>
    </row>
    <row r="18" spans="1:24">
      <c r="A18" s="25" t="s">
        <v>1128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28440</f>
        <v>28440</v>
      </c>
      <c r="L18" s="32" t="s">
        <v>1110</v>
      </c>
      <c r="M18" s="31">
        <f>32260</f>
        <v>32260</v>
      </c>
      <c r="N18" s="32" t="s">
        <v>883</v>
      </c>
      <c r="O18" s="31">
        <f>28405</f>
        <v>28405</v>
      </c>
      <c r="P18" s="32" t="s">
        <v>1110</v>
      </c>
      <c r="Q18" s="31">
        <f>31840</f>
        <v>31840</v>
      </c>
      <c r="R18" s="32" t="s">
        <v>883</v>
      </c>
      <c r="S18" s="33">
        <f>29965.5</f>
        <v>29965.5</v>
      </c>
      <c r="T18" s="30">
        <f>131533</f>
        <v>131533</v>
      </c>
      <c r="U18" s="30" t="str">
        <f>"－"</f>
        <v>－</v>
      </c>
      <c r="V18" s="30">
        <f>3945021225</f>
        <v>3945021225</v>
      </c>
      <c r="W18" s="30" t="str">
        <f>"－"</f>
        <v>－</v>
      </c>
      <c r="X18" s="34">
        <f>20</f>
        <v>20</v>
      </c>
    </row>
    <row r="19" spans="1:24">
      <c r="A19" s="25" t="s">
        <v>1128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7537</f>
        <v>7537</v>
      </c>
      <c r="L19" s="32" t="s">
        <v>1110</v>
      </c>
      <c r="M19" s="31">
        <f>8447</f>
        <v>8447</v>
      </c>
      <c r="N19" s="32" t="s">
        <v>883</v>
      </c>
      <c r="O19" s="31">
        <f>7531</f>
        <v>7531</v>
      </c>
      <c r="P19" s="32" t="s">
        <v>1110</v>
      </c>
      <c r="Q19" s="31">
        <f>8361</f>
        <v>8361</v>
      </c>
      <c r="R19" s="32" t="s">
        <v>883</v>
      </c>
      <c r="S19" s="33">
        <f>7944.3</f>
        <v>7944.3</v>
      </c>
      <c r="T19" s="30">
        <f>297970</f>
        <v>297970</v>
      </c>
      <c r="U19" s="30">
        <f>370</f>
        <v>370</v>
      </c>
      <c r="V19" s="30">
        <f>2373576300</f>
        <v>2373576300</v>
      </c>
      <c r="W19" s="30">
        <f>2832950</f>
        <v>2832950</v>
      </c>
      <c r="X19" s="34">
        <f>20</f>
        <v>20</v>
      </c>
    </row>
    <row r="20" spans="1:24">
      <c r="A20" s="25" t="s">
        <v>1128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40720</f>
        <v>40720</v>
      </c>
      <c r="L20" s="32" t="s">
        <v>1110</v>
      </c>
      <c r="M20" s="31">
        <f>42540</f>
        <v>42540</v>
      </c>
      <c r="N20" s="32" t="s">
        <v>874</v>
      </c>
      <c r="O20" s="31">
        <f>39620</f>
        <v>39620</v>
      </c>
      <c r="P20" s="32" t="s">
        <v>677</v>
      </c>
      <c r="Q20" s="31">
        <f>42140</f>
        <v>42140</v>
      </c>
      <c r="R20" s="32" t="s">
        <v>883</v>
      </c>
      <c r="S20" s="33">
        <f>41277</f>
        <v>41277</v>
      </c>
      <c r="T20" s="30">
        <f>1493654</f>
        <v>1493654</v>
      </c>
      <c r="U20" s="30">
        <f>589233</f>
        <v>589233</v>
      </c>
      <c r="V20" s="30">
        <f>61684221553</f>
        <v>61684221553</v>
      </c>
      <c r="W20" s="30">
        <f>24501410153</f>
        <v>24501410153</v>
      </c>
      <c r="X20" s="34">
        <f>20</f>
        <v>20</v>
      </c>
    </row>
    <row r="21" spans="1:24">
      <c r="A21" s="25" t="s">
        <v>1128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40880</f>
        <v>40880</v>
      </c>
      <c r="L21" s="32" t="s">
        <v>1110</v>
      </c>
      <c r="M21" s="31">
        <f>42690</f>
        <v>42690</v>
      </c>
      <c r="N21" s="32" t="s">
        <v>874</v>
      </c>
      <c r="O21" s="31">
        <f>39780</f>
        <v>39780</v>
      </c>
      <c r="P21" s="32" t="s">
        <v>677</v>
      </c>
      <c r="Q21" s="31">
        <f>42310</f>
        <v>42310</v>
      </c>
      <c r="R21" s="32" t="s">
        <v>883</v>
      </c>
      <c r="S21" s="33">
        <f>41447.5</f>
        <v>41447.5</v>
      </c>
      <c r="T21" s="30">
        <f>1657917</f>
        <v>1657917</v>
      </c>
      <c r="U21" s="30">
        <f>1042100</f>
        <v>1042100</v>
      </c>
      <c r="V21" s="30">
        <f>68851088905</f>
        <v>68851088905</v>
      </c>
      <c r="W21" s="30">
        <f>43441805155</f>
        <v>43441805155</v>
      </c>
      <c r="X21" s="34">
        <f>20</f>
        <v>20</v>
      </c>
    </row>
    <row r="22" spans="1:24">
      <c r="A22" s="25" t="s">
        <v>1128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1023</f>
        <v>1023</v>
      </c>
      <c r="L22" s="32" t="s">
        <v>1110</v>
      </c>
      <c r="M22" s="31">
        <f>1040</f>
        <v>1040</v>
      </c>
      <c r="N22" s="32" t="s">
        <v>1112</v>
      </c>
      <c r="O22" s="31">
        <f>1000</f>
        <v>1000</v>
      </c>
      <c r="P22" s="32" t="s">
        <v>684</v>
      </c>
      <c r="Q22" s="31">
        <f>1032</f>
        <v>1032</v>
      </c>
      <c r="R22" s="32" t="s">
        <v>883</v>
      </c>
      <c r="S22" s="33">
        <f>1021.35</f>
        <v>1021.35</v>
      </c>
      <c r="T22" s="30">
        <f>3181067</f>
        <v>3181067</v>
      </c>
      <c r="U22" s="30">
        <f>2845000</f>
        <v>2845000</v>
      </c>
      <c r="V22" s="30">
        <f>3254734900</f>
        <v>3254734900</v>
      </c>
      <c r="W22" s="30">
        <f>2910493322</f>
        <v>2910493322</v>
      </c>
      <c r="X22" s="34">
        <f>20</f>
        <v>20</v>
      </c>
    </row>
    <row r="23" spans="1:24">
      <c r="A23" s="25" t="s">
        <v>1128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1844</f>
        <v>1844</v>
      </c>
      <c r="L23" s="32" t="s">
        <v>1110</v>
      </c>
      <c r="M23" s="31">
        <f>1971.5</f>
        <v>1971.5</v>
      </c>
      <c r="N23" s="32" t="s">
        <v>679</v>
      </c>
      <c r="O23" s="31">
        <f>1789.5</f>
        <v>1789.5</v>
      </c>
      <c r="P23" s="32" t="s">
        <v>1123</v>
      </c>
      <c r="Q23" s="31">
        <f>1943</f>
        <v>1943</v>
      </c>
      <c r="R23" s="32" t="s">
        <v>883</v>
      </c>
      <c r="S23" s="33">
        <f>1877.33</f>
        <v>1877.33</v>
      </c>
      <c r="T23" s="30">
        <f>40560430</f>
        <v>40560430</v>
      </c>
      <c r="U23" s="30">
        <f>14550870</f>
        <v>14550870</v>
      </c>
      <c r="V23" s="30">
        <f>76480213193</f>
        <v>76480213193</v>
      </c>
      <c r="W23" s="30">
        <f>27446857088</f>
        <v>27446857088</v>
      </c>
      <c r="X23" s="34">
        <f>20</f>
        <v>20</v>
      </c>
    </row>
    <row r="24" spans="1:24">
      <c r="A24" s="25" t="s">
        <v>1128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1750</f>
        <v>1750</v>
      </c>
      <c r="L24" s="32" t="s">
        <v>1110</v>
      </c>
      <c r="M24" s="31">
        <f>1847.5</f>
        <v>1847.5</v>
      </c>
      <c r="N24" s="32" t="s">
        <v>679</v>
      </c>
      <c r="O24" s="31">
        <f>1677</f>
        <v>1677</v>
      </c>
      <c r="P24" s="32" t="s">
        <v>1123</v>
      </c>
      <c r="Q24" s="31">
        <f>1819</f>
        <v>1819</v>
      </c>
      <c r="R24" s="32" t="s">
        <v>883</v>
      </c>
      <c r="S24" s="33">
        <f>1761.1</f>
        <v>1761.1</v>
      </c>
      <c r="T24" s="30">
        <f>4023200</f>
        <v>4023200</v>
      </c>
      <c r="U24" s="30">
        <f>909700</f>
        <v>909700</v>
      </c>
      <c r="V24" s="30">
        <f>7123819397</f>
        <v>7123819397</v>
      </c>
      <c r="W24" s="30">
        <f>1649241847</f>
        <v>1649241847</v>
      </c>
      <c r="X24" s="34">
        <f>20</f>
        <v>20</v>
      </c>
    </row>
    <row r="25" spans="1:24">
      <c r="A25" s="25" t="s">
        <v>1128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40600</f>
        <v>40600</v>
      </c>
      <c r="L25" s="32" t="s">
        <v>1110</v>
      </c>
      <c r="M25" s="31">
        <f>42420</f>
        <v>42420</v>
      </c>
      <c r="N25" s="32" t="s">
        <v>874</v>
      </c>
      <c r="O25" s="31">
        <f>39540</f>
        <v>39540</v>
      </c>
      <c r="P25" s="32" t="s">
        <v>677</v>
      </c>
      <c r="Q25" s="31">
        <f>42020</f>
        <v>42020</v>
      </c>
      <c r="R25" s="32" t="s">
        <v>883</v>
      </c>
      <c r="S25" s="33">
        <f>41164.5</f>
        <v>41164.5</v>
      </c>
      <c r="T25" s="30">
        <f>994362</f>
        <v>994362</v>
      </c>
      <c r="U25" s="30">
        <f>518598</f>
        <v>518598</v>
      </c>
      <c r="V25" s="30">
        <f>41057058850</f>
        <v>41057058850</v>
      </c>
      <c r="W25" s="30">
        <f>21475343350</f>
        <v>21475343350</v>
      </c>
      <c r="X25" s="34">
        <f>20</f>
        <v>20</v>
      </c>
    </row>
    <row r="26" spans="1:24">
      <c r="A26" s="25" t="s">
        <v>1128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2770.5</f>
        <v>2770.5</v>
      </c>
      <c r="L26" s="32" t="s">
        <v>1110</v>
      </c>
      <c r="M26" s="31">
        <f>2919</f>
        <v>2919</v>
      </c>
      <c r="N26" s="32" t="s">
        <v>874</v>
      </c>
      <c r="O26" s="31">
        <f>2709</f>
        <v>2709</v>
      </c>
      <c r="P26" s="32" t="s">
        <v>677</v>
      </c>
      <c r="Q26" s="31">
        <f>2894.5</f>
        <v>2894.5</v>
      </c>
      <c r="R26" s="32" t="s">
        <v>883</v>
      </c>
      <c r="S26" s="33">
        <f>2826.73</f>
        <v>2826.73</v>
      </c>
      <c r="T26" s="30">
        <f>8718930</f>
        <v>8718930</v>
      </c>
      <c r="U26" s="30">
        <f>5489360</f>
        <v>5489360</v>
      </c>
      <c r="V26" s="30">
        <f>24722376806</f>
        <v>24722376806</v>
      </c>
      <c r="W26" s="30">
        <f>15595807276</f>
        <v>15595807276</v>
      </c>
      <c r="X26" s="34">
        <f>20</f>
        <v>20</v>
      </c>
    </row>
    <row r="27" spans="1:24">
      <c r="A27" s="25" t="s">
        <v>1128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15980</f>
        <v>15980</v>
      </c>
      <c r="L27" s="32" t="s">
        <v>1110</v>
      </c>
      <c r="M27" s="31">
        <f>16175</f>
        <v>16175</v>
      </c>
      <c r="N27" s="32" t="s">
        <v>874</v>
      </c>
      <c r="O27" s="31">
        <f>15715</f>
        <v>15715</v>
      </c>
      <c r="P27" s="32" t="s">
        <v>875</v>
      </c>
      <c r="Q27" s="31">
        <f>16055</f>
        <v>16055</v>
      </c>
      <c r="R27" s="32" t="s">
        <v>883</v>
      </c>
      <c r="S27" s="33">
        <f>15968.95</f>
        <v>15968.95</v>
      </c>
      <c r="T27" s="30">
        <f>410</f>
        <v>410</v>
      </c>
      <c r="U27" s="30" t="str">
        <f>"－"</f>
        <v>－</v>
      </c>
      <c r="V27" s="30">
        <f>6515865</f>
        <v>6515865</v>
      </c>
      <c r="W27" s="30" t="str">
        <f>"－"</f>
        <v>－</v>
      </c>
      <c r="X27" s="34">
        <f>19</f>
        <v>19</v>
      </c>
    </row>
    <row r="28" spans="1:24">
      <c r="A28" s="25" t="s">
        <v>1128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417</f>
        <v>417</v>
      </c>
      <c r="L28" s="32" t="s">
        <v>1110</v>
      </c>
      <c r="M28" s="31">
        <f>434.8</f>
        <v>434.8</v>
      </c>
      <c r="N28" s="32" t="s">
        <v>677</v>
      </c>
      <c r="O28" s="31">
        <f>372.8</f>
        <v>372.8</v>
      </c>
      <c r="P28" s="32" t="s">
        <v>874</v>
      </c>
      <c r="Q28" s="31">
        <f>378.8</f>
        <v>378.8</v>
      </c>
      <c r="R28" s="32" t="s">
        <v>883</v>
      </c>
      <c r="S28" s="33">
        <f>399.43</f>
        <v>399.43</v>
      </c>
      <c r="T28" s="30">
        <f>32337510</f>
        <v>32337510</v>
      </c>
      <c r="U28" s="30" t="str">
        <f>"－"</f>
        <v>－</v>
      </c>
      <c r="V28" s="30">
        <f>12884778819</f>
        <v>12884778819</v>
      </c>
      <c r="W28" s="30" t="str">
        <f>"－"</f>
        <v>－</v>
      </c>
      <c r="X28" s="34">
        <f>20</f>
        <v>20</v>
      </c>
    </row>
    <row r="29" spans="1:24">
      <c r="A29" s="25" t="s">
        <v>1128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148</f>
        <v>148</v>
      </c>
      <c r="L29" s="32" t="s">
        <v>1110</v>
      </c>
      <c r="M29" s="31">
        <f>156</f>
        <v>156</v>
      </c>
      <c r="N29" s="32" t="s">
        <v>677</v>
      </c>
      <c r="O29" s="31">
        <f>134</f>
        <v>134</v>
      </c>
      <c r="P29" s="32" t="s">
        <v>874</v>
      </c>
      <c r="Q29" s="31">
        <f>136</f>
        <v>136</v>
      </c>
      <c r="R29" s="32" t="s">
        <v>883</v>
      </c>
      <c r="S29" s="33">
        <f>143.05</f>
        <v>143.05000000000001</v>
      </c>
      <c r="T29" s="30">
        <f>1337364293</f>
        <v>1337364293</v>
      </c>
      <c r="U29" s="30">
        <f>5182357</f>
        <v>5182357</v>
      </c>
      <c r="V29" s="30">
        <f>193211784049</f>
        <v>193211784049</v>
      </c>
      <c r="W29" s="30">
        <f>726496227</f>
        <v>726496227</v>
      </c>
      <c r="X29" s="34">
        <f>20</f>
        <v>20</v>
      </c>
    </row>
    <row r="30" spans="1:24">
      <c r="A30" s="25" t="s">
        <v>1128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53840</f>
        <v>53840</v>
      </c>
      <c r="L30" s="32" t="s">
        <v>1110</v>
      </c>
      <c r="M30" s="31">
        <f>58680</f>
        <v>58680</v>
      </c>
      <c r="N30" s="32" t="s">
        <v>874</v>
      </c>
      <c r="O30" s="31">
        <f>50970</f>
        <v>50970</v>
      </c>
      <c r="P30" s="32" t="s">
        <v>677</v>
      </c>
      <c r="Q30" s="31">
        <f>57530</f>
        <v>57530</v>
      </c>
      <c r="R30" s="32" t="s">
        <v>883</v>
      </c>
      <c r="S30" s="33">
        <f>55309</f>
        <v>55309</v>
      </c>
      <c r="T30" s="30">
        <f>462887</f>
        <v>462887</v>
      </c>
      <c r="U30" s="30" t="str">
        <f>"－"</f>
        <v>－</v>
      </c>
      <c r="V30" s="30">
        <f>25512541530</f>
        <v>25512541530</v>
      </c>
      <c r="W30" s="30" t="str">
        <f>"－"</f>
        <v>－</v>
      </c>
      <c r="X30" s="34">
        <f>20</f>
        <v>20</v>
      </c>
    </row>
    <row r="31" spans="1:24">
      <c r="A31" s="25" t="s">
        <v>1128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362</f>
        <v>362</v>
      </c>
      <c r="L31" s="32" t="s">
        <v>1110</v>
      </c>
      <c r="M31" s="31">
        <f>380.2</f>
        <v>380.2</v>
      </c>
      <c r="N31" s="32" t="s">
        <v>677</v>
      </c>
      <c r="O31" s="31">
        <f>328.2</f>
        <v>328.2</v>
      </c>
      <c r="P31" s="32" t="s">
        <v>874</v>
      </c>
      <c r="Q31" s="31">
        <f>334.2</f>
        <v>334.2</v>
      </c>
      <c r="R31" s="32" t="s">
        <v>883</v>
      </c>
      <c r="S31" s="33">
        <f>350.2</f>
        <v>350.2</v>
      </c>
      <c r="T31" s="30">
        <f>648296670</f>
        <v>648296670</v>
      </c>
      <c r="U31" s="30">
        <f>1086790</f>
        <v>1086790</v>
      </c>
      <c r="V31" s="30">
        <f>228899588669</f>
        <v>228899588669</v>
      </c>
      <c r="W31" s="30">
        <f>368085468</f>
        <v>368085468</v>
      </c>
      <c r="X31" s="34">
        <f>20</f>
        <v>20</v>
      </c>
    </row>
    <row r="32" spans="1:24">
      <c r="A32" s="25" t="s">
        <v>1128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24675</f>
        <v>24675</v>
      </c>
      <c r="L32" s="32" t="s">
        <v>1110</v>
      </c>
      <c r="M32" s="31">
        <f>25990</f>
        <v>25990</v>
      </c>
      <c r="N32" s="32" t="s">
        <v>874</v>
      </c>
      <c r="O32" s="31">
        <f>24150</f>
        <v>24150</v>
      </c>
      <c r="P32" s="32" t="s">
        <v>677</v>
      </c>
      <c r="Q32" s="31">
        <f>25880</f>
        <v>25880</v>
      </c>
      <c r="R32" s="32" t="s">
        <v>883</v>
      </c>
      <c r="S32" s="33">
        <f>25216</f>
        <v>25216</v>
      </c>
      <c r="T32" s="30">
        <f>48648</f>
        <v>48648</v>
      </c>
      <c r="U32" s="30">
        <f>4000</f>
        <v>4000</v>
      </c>
      <c r="V32" s="30">
        <f>1214961780</f>
        <v>1214961780</v>
      </c>
      <c r="W32" s="30">
        <f>97728000</f>
        <v>97728000</v>
      </c>
      <c r="X32" s="34">
        <f>20</f>
        <v>20</v>
      </c>
    </row>
    <row r="33" spans="1:24">
      <c r="A33" s="25" t="s">
        <v>1128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44750</f>
        <v>44750</v>
      </c>
      <c r="L33" s="32" t="s">
        <v>1110</v>
      </c>
      <c r="M33" s="31">
        <f>48790</f>
        <v>48790</v>
      </c>
      <c r="N33" s="32" t="s">
        <v>874</v>
      </c>
      <c r="O33" s="31">
        <f>42350</f>
        <v>42350</v>
      </c>
      <c r="P33" s="32" t="s">
        <v>677</v>
      </c>
      <c r="Q33" s="31">
        <f>47800</f>
        <v>47800</v>
      </c>
      <c r="R33" s="32" t="s">
        <v>883</v>
      </c>
      <c r="S33" s="33">
        <f>45955.5</f>
        <v>45955.5</v>
      </c>
      <c r="T33" s="30">
        <f>1012757</f>
        <v>1012757</v>
      </c>
      <c r="U33" s="30">
        <f>30</f>
        <v>30</v>
      </c>
      <c r="V33" s="30">
        <f>46276658730</f>
        <v>46276658730</v>
      </c>
      <c r="W33" s="30">
        <f>1446000</f>
        <v>1446000</v>
      </c>
      <c r="X33" s="34">
        <f>20</f>
        <v>20</v>
      </c>
    </row>
    <row r="34" spans="1:24">
      <c r="A34" s="25" t="s">
        <v>1128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384</f>
        <v>384</v>
      </c>
      <c r="L34" s="32" t="s">
        <v>1110</v>
      </c>
      <c r="M34" s="31">
        <f>405</f>
        <v>405</v>
      </c>
      <c r="N34" s="32" t="s">
        <v>677</v>
      </c>
      <c r="O34" s="31">
        <f>349</f>
        <v>349</v>
      </c>
      <c r="P34" s="32" t="s">
        <v>874</v>
      </c>
      <c r="Q34" s="31">
        <f>356</f>
        <v>356</v>
      </c>
      <c r="R34" s="32" t="s">
        <v>883</v>
      </c>
      <c r="S34" s="33">
        <f>372.65</f>
        <v>372.65</v>
      </c>
      <c r="T34" s="30">
        <f>32633753</f>
        <v>32633753</v>
      </c>
      <c r="U34" s="30">
        <f>26058</f>
        <v>26058</v>
      </c>
      <c r="V34" s="30">
        <f>12260729844</f>
        <v>12260729844</v>
      </c>
      <c r="W34" s="30">
        <f>9727077</f>
        <v>9727077</v>
      </c>
      <c r="X34" s="34">
        <f>20</f>
        <v>20</v>
      </c>
    </row>
    <row r="35" spans="1:24">
      <c r="A35" s="25" t="s">
        <v>1128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36040</f>
        <v>36040</v>
      </c>
      <c r="L35" s="32" t="s">
        <v>1110</v>
      </c>
      <c r="M35" s="31">
        <f>40000</f>
        <v>40000</v>
      </c>
      <c r="N35" s="32" t="s">
        <v>874</v>
      </c>
      <c r="O35" s="31">
        <f>34420</f>
        <v>34420</v>
      </c>
      <c r="P35" s="32" t="s">
        <v>677</v>
      </c>
      <c r="Q35" s="31">
        <f>39260</f>
        <v>39260</v>
      </c>
      <c r="R35" s="32" t="s">
        <v>883</v>
      </c>
      <c r="S35" s="33">
        <f>37531</f>
        <v>37531</v>
      </c>
      <c r="T35" s="30">
        <f>218655</f>
        <v>218655</v>
      </c>
      <c r="U35" s="30" t="str">
        <f>"－"</f>
        <v>－</v>
      </c>
      <c r="V35" s="30">
        <f>8193037280</f>
        <v>8193037280</v>
      </c>
      <c r="W35" s="30" t="str">
        <f>"－"</f>
        <v>－</v>
      </c>
      <c r="X35" s="34">
        <f>20</f>
        <v>20</v>
      </c>
    </row>
    <row r="36" spans="1:24">
      <c r="A36" s="25" t="s">
        <v>1128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605</f>
        <v>605</v>
      </c>
      <c r="L36" s="32" t="s">
        <v>1110</v>
      </c>
      <c r="M36" s="31">
        <f>632</f>
        <v>632</v>
      </c>
      <c r="N36" s="32" t="s">
        <v>677</v>
      </c>
      <c r="O36" s="31">
        <f>542</f>
        <v>542</v>
      </c>
      <c r="P36" s="32" t="s">
        <v>874</v>
      </c>
      <c r="Q36" s="31">
        <f>550</f>
        <v>550</v>
      </c>
      <c r="R36" s="32" t="s">
        <v>883</v>
      </c>
      <c r="S36" s="33">
        <f>579.95</f>
        <v>579.95000000000005</v>
      </c>
      <c r="T36" s="30">
        <f>2731913</f>
        <v>2731913</v>
      </c>
      <c r="U36" s="30" t="str">
        <f>"－"</f>
        <v>－</v>
      </c>
      <c r="V36" s="30">
        <f>1598929259</f>
        <v>1598929259</v>
      </c>
      <c r="W36" s="30" t="str">
        <f>"－"</f>
        <v>－</v>
      </c>
      <c r="X36" s="34">
        <f>20</f>
        <v>20</v>
      </c>
    </row>
    <row r="37" spans="1:24">
      <c r="A37" s="25" t="s">
        <v>1128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39400</f>
        <v>39400</v>
      </c>
      <c r="L37" s="32" t="s">
        <v>1110</v>
      </c>
      <c r="M37" s="31">
        <f>41160</f>
        <v>41160</v>
      </c>
      <c r="N37" s="32" t="s">
        <v>874</v>
      </c>
      <c r="O37" s="31">
        <f>38370</f>
        <v>38370</v>
      </c>
      <c r="P37" s="32" t="s">
        <v>677</v>
      </c>
      <c r="Q37" s="31">
        <f>40800</f>
        <v>40800</v>
      </c>
      <c r="R37" s="32" t="s">
        <v>883</v>
      </c>
      <c r="S37" s="33">
        <f>39959</f>
        <v>39959</v>
      </c>
      <c r="T37" s="30">
        <f>848928</f>
        <v>848928</v>
      </c>
      <c r="U37" s="30">
        <f>755001</f>
        <v>755001</v>
      </c>
      <c r="V37" s="30">
        <f>34711595590</f>
        <v>34711595590</v>
      </c>
      <c r="W37" s="30">
        <f>30944303510</f>
        <v>30944303510</v>
      </c>
      <c r="X37" s="34">
        <f>20</f>
        <v>20</v>
      </c>
    </row>
    <row r="38" spans="1:24">
      <c r="A38" s="25" t="s">
        <v>1128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39730</f>
        <v>39730</v>
      </c>
      <c r="L38" s="32" t="s">
        <v>1110</v>
      </c>
      <c r="M38" s="31">
        <f>41560</f>
        <v>41560</v>
      </c>
      <c r="N38" s="32" t="s">
        <v>874</v>
      </c>
      <c r="O38" s="31">
        <f>38750</f>
        <v>38750</v>
      </c>
      <c r="P38" s="32" t="s">
        <v>677</v>
      </c>
      <c r="Q38" s="31">
        <f>41190</f>
        <v>41190</v>
      </c>
      <c r="R38" s="32" t="s">
        <v>883</v>
      </c>
      <c r="S38" s="33">
        <f>40336</f>
        <v>40336</v>
      </c>
      <c r="T38" s="30">
        <f>132709</f>
        <v>132709</v>
      </c>
      <c r="U38" s="30">
        <f>4900</f>
        <v>4900</v>
      </c>
      <c r="V38" s="30">
        <f>5333279450</f>
        <v>5333279450</v>
      </c>
      <c r="W38" s="30">
        <f>202296500</f>
        <v>202296500</v>
      </c>
      <c r="X38" s="34">
        <f>20</f>
        <v>20</v>
      </c>
    </row>
    <row r="39" spans="1:24">
      <c r="A39" s="25" t="s">
        <v>1128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1768.5</f>
        <v>1768.5</v>
      </c>
      <c r="L39" s="32" t="s">
        <v>1110</v>
      </c>
      <c r="M39" s="31">
        <f>1867</f>
        <v>1867</v>
      </c>
      <c r="N39" s="32" t="s">
        <v>679</v>
      </c>
      <c r="O39" s="31">
        <f>1696.5</f>
        <v>1696.5</v>
      </c>
      <c r="P39" s="32" t="s">
        <v>1123</v>
      </c>
      <c r="Q39" s="31">
        <f>1840.5</f>
        <v>1840.5</v>
      </c>
      <c r="R39" s="32" t="s">
        <v>883</v>
      </c>
      <c r="S39" s="33">
        <f>1783.35</f>
        <v>1783.35</v>
      </c>
      <c r="T39" s="30">
        <f>2166460</f>
        <v>2166460</v>
      </c>
      <c r="U39" s="30">
        <f>1127650</f>
        <v>1127650</v>
      </c>
      <c r="V39" s="30">
        <f>3879616049</f>
        <v>3879616049</v>
      </c>
      <c r="W39" s="30">
        <f>2034806449</f>
        <v>2034806449</v>
      </c>
      <c r="X39" s="34">
        <f>20</f>
        <v>20</v>
      </c>
    </row>
    <row r="40" spans="1:24">
      <c r="A40" s="25" t="s">
        <v>1128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2159</f>
        <v>2159</v>
      </c>
      <c r="L40" s="32" t="s">
        <v>1110</v>
      </c>
      <c r="M40" s="31">
        <f>2277</f>
        <v>2277</v>
      </c>
      <c r="N40" s="32" t="s">
        <v>1111</v>
      </c>
      <c r="O40" s="31">
        <f>2077</f>
        <v>2077</v>
      </c>
      <c r="P40" s="32" t="s">
        <v>1117</v>
      </c>
      <c r="Q40" s="31">
        <f>2231</f>
        <v>2231</v>
      </c>
      <c r="R40" s="32" t="s">
        <v>883</v>
      </c>
      <c r="S40" s="33">
        <f>2168.18</f>
        <v>2168.1799999999998</v>
      </c>
      <c r="T40" s="30">
        <f>7620</f>
        <v>7620</v>
      </c>
      <c r="U40" s="30">
        <f>10</f>
        <v>10</v>
      </c>
      <c r="V40" s="30">
        <f>16611935</f>
        <v>16611935</v>
      </c>
      <c r="W40" s="30">
        <f>22070</f>
        <v>22070</v>
      </c>
      <c r="X40" s="34">
        <f>20</f>
        <v>20</v>
      </c>
    </row>
    <row r="41" spans="1:24">
      <c r="A41" s="25" t="s">
        <v>1128</v>
      </c>
      <c r="B41" s="25" t="s">
        <v>1119</v>
      </c>
      <c r="C41" s="25" t="s">
        <v>1120</v>
      </c>
      <c r="D41" s="25" t="s">
        <v>1121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1992</f>
        <v>1992</v>
      </c>
      <c r="L41" s="32" t="s">
        <v>1110</v>
      </c>
      <c r="M41" s="31">
        <f>2007</f>
        <v>2007</v>
      </c>
      <c r="N41" s="32" t="s">
        <v>883</v>
      </c>
      <c r="O41" s="31">
        <f>1966</f>
        <v>1966</v>
      </c>
      <c r="P41" s="32" t="s">
        <v>684</v>
      </c>
      <c r="Q41" s="31">
        <f>2007</f>
        <v>2007</v>
      </c>
      <c r="R41" s="32" t="s">
        <v>883</v>
      </c>
      <c r="S41" s="33">
        <f>1986.85</f>
        <v>1986.85</v>
      </c>
      <c r="T41" s="30">
        <f>217722</f>
        <v>217722</v>
      </c>
      <c r="U41" s="30" t="str">
        <f>"－"</f>
        <v>－</v>
      </c>
      <c r="V41" s="30">
        <f>432496336</f>
        <v>432496336</v>
      </c>
      <c r="W41" s="30" t="str">
        <f>"－"</f>
        <v>－</v>
      </c>
      <c r="X41" s="34">
        <f>20</f>
        <v>20</v>
      </c>
    </row>
    <row r="42" spans="1:24">
      <c r="A42" s="25" t="s">
        <v>1128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2684</f>
        <v>2684</v>
      </c>
      <c r="L42" s="32" t="s">
        <v>1110</v>
      </c>
      <c r="M42" s="31">
        <f>2752</f>
        <v>2752</v>
      </c>
      <c r="N42" s="32" t="s">
        <v>677</v>
      </c>
      <c r="O42" s="31">
        <f>2560</f>
        <v>2560</v>
      </c>
      <c r="P42" s="32" t="s">
        <v>874</v>
      </c>
      <c r="Q42" s="31">
        <f>2585</f>
        <v>2585</v>
      </c>
      <c r="R42" s="32" t="s">
        <v>883</v>
      </c>
      <c r="S42" s="33">
        <f>2642.7</f>
        <v>2642.7</v>
      </c>
      <c r="T42" s="30">
        <f>7008043</f>
        <v>7008043</v>
      </c>
      <c r="U42" s="30">
        <f>2601575</f>
        <v>2601575</v>
      </c>
      <c r="V42" s="30">
        <f>18589403483</f>
        <v>18589403483</v>
      </c>
      <c r="W42" s="30">
        <f>6942370746</f>
        <v>6942370746</v>
      </c>
      <c r="X42" s="34">
        <f>20</f>
        <v>20</v>
      </c>
    </row>
    <row r="43" spans="1:24">
      <c r="A43" s="25" t="s">
        <v>1128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3290</f>
        <v>3290</v>
      </c>
      <c r="L43" s="32" t="s">
        <v>1110</v>
      </c>
      <c r="M43" s="31">
        <f>3360</f>
        <v>3360</v>
      </c>
      <c r="N43" s="32" t="s">
        <v>677</v>
      </c>
      <c r="O43" s="31">
        <f>3115</f>
        <v>3115</v>
      </c>
      <c r="P43" s="32" t="s">
        <v>874</v>
      </c>
      <c r="Q43" s="31">
        <f>3140</f>
        <v>3140</v>
      </c>
      <c r="R43" s="32" t="s">
        <v>883</v>
      </c>
      <c r="S43" s="33">
        <f>3220.75</f>
        <v>3220.75</v>
      </c>
      <c r="T43" s="30">
        <f>6585797</f>
        <v>6585797</v>
      </c>
      <c r="U43" s="30">
        <f>6276513</f>
        <v>6276513</v>
      </c>
      <c r="V43" s="30">
        <f>21387813211</f>
        <v>21387813211</v>
      </c>
      <c r="W43" s="30">
        <f>20384647871</f>
        <v>20384647871</v>
      </c>
      <c r="X43" s="34">
        <f>20</f>
        <v>20</v>
      </c>
    </row>
    <row r="44" spans="1:24">
      <c r="A44" s="25" t="s">
        <v>1128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34170</f>
        <v>34170</v>
      </c>
      <c r="L44" s="32" t="s">
        <v>1110</v>
      </c>
      <c r="M44" s="31">
        <f>37220</f>
        <v>37220</v>
      </c>
      <c r="N44" s="32" t="s">
        <v>874</v>
      </c>
      <c r="O44" s="31">
        <f>32330</f>
        <v>32330</v>
      </c>
      <c r="P44" s="32" t="s">
        <v>677</v>
      </c>
      <c r="Q44" s="31">
        <f>36490</f>
        <v>36490</v>
      </c>
      <c r="R44" s="32" t="s">
        <v>883</v>
      </c>
      <c r="S44" s="33">
        <f>35079</f>
        <v>35079</v>
      </c>
      <c r="T44" s="30">
        <f>5719160</f>
        <v>5719160</v>
      </c>
      <c r="U44" s="30">
        <f>1197</f>
        <v>1197</v>
      </c>
      <c r="V44" s="30">
        <f>200810739990</f>
        <v>200810739990</v>
      </c>
      <c r="W44" s="30">
        <f>41793490</f>
        <v>41793490</v>
      </c>
      <c r="X44" s="34">
        <f>20</f>
        <v>20</v>
      </c>
    </row>
    <row r="45" spans="1:24">
      <c r="A45" s="25" t="s">
        <v>1128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596</f>
        <v>596</v>
      </c>
      <c r="L45" s="32" t="s">
        <v>1110</v>
      </c>
      <c r="M45" s="31">
        <f>627</f>
        <v>627</v>
      </c>
      <c r="N45" s="32" t="s">
        <v>677</v>
      </c>
      <c r="O45" s="31">
        <f>541</f>
        <v>541</v>
      </c>
      <c r="P45" s="32" t="s">
        <v>874</v>
      </c>
      <c r="Q45" s="31">
        <f>551</f>
        <v>551</v>
      </c>
      <c r="R45" s="32" t="s">
        <v>883</v>
      </c>
      <c r="S45" s="33">
        <f>577.65</f>
        <v>577.65</v>
      </c>
      <c r="T45" s="30">
        <f>231373762</f>
        <v>231373762</v>
      </c>
      <c r="U45" s="30">
        <f>115818</f>
        <v>115818</v>
      </c>
      <c r="V45" s="30">
        <f>134621380064</f>
        <v>134621380064</v>
      </c>
      <c r="W45" s="30">
        <f>66985376</f>
        <v>66985376</v>
      </c>
      <c r="X45" s="34">
        <f>20</f>
        <v>20</v>
      </c>
    </row>
    <row r="46" spans="1:24">
      <c r="A46" s="25" t="s">
        <v>1128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28805</f>
        <v>28805</v>
      </c>
      <c r="L46" s="32" t="s">
        <v>1110</v>
      </c>
      <c r="M46" s="31">
        <f>32070</f>
        <v>32070</v>
      </c>
      <c r="N46" s="32" t="s">
        <v>874</v>
      </c>
      <c r="O46" s="31">
        <f>27640</f>
        <v>27640</v>
      </c>
      <c r="P46" s="32" t="s">
        <v>677</v>
      </c>
      <c r="Q46" s="31">
        <f>31620</f>
        <v>31620</v>
      </c>
      <c r="R46" s="32" t="s">
        <v>883</v>
      </c>
      <c r="S46" s="33">
        <f>30125</f>
        <v>30125</v>
      </c>
      <c r="T46" s="30">
        <f>7040</f>
        <v>7040</v>
      </c>
      <c r="U46" s="30" t="str">
        <f>"－"</f>
        <v>－</v>
      </c>
      <c r="V46" s="30">
        <f>211412605</f>
        <v>211412605</v>
      </c>
      <c r="W46" s="30" t="str">
        <f>"－"</f>
        <v>－</v>
      </c>
      <c r="X46" s="34">
        <f>20</f>
        <v>20</v>
      </c>
    </row>
    <row r="47" spans="1:24">
      <c r="A47" s="25" t="s">
        <v>1128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3175</f>
        <v>3175</v>
      </c>
      <c r="L47" s="32" t="s">
        <v>1110</v>
      </c>
      <c r="M47" s="31">
        <f>3235</f>
        <v>3235</v>
      </c>
      <c r="N47" s="32" t="s">
        <v>684</v>
      </c>
      <c r="O47" s="31">
        <f>3035</f>
        <v>3035</v>
      </c>
      <c r="P47" s="32" t="s">
        <v>676</v>
      </c>
      <c r="Q47" s="31">
        <f>3045</f>
        <v>3045</v>
      </c>
      <c r="R47" s="32" t="s">
        <v>1114</v>
      </c>
      <c r="S47" s="33">
        <f>3110.77</f>
        <v>3110.77</v>
      </c>
      <c r="T47" s="30">
        <f>559</f>
        <v>559</v>
      </c>
      <c r="U47" s="30" t="str">
        <f>"－"</f>
        <v>－</v>
      </c>
      <c r="V47" s="30">
        <f>1758055</f>
        <v>1758055</v>
      </c>
      <c r="W47" s="30" t="str">
        <f>"－"</f>
        <v>－</v>
      </c>
      <c r="X47" s="34">
        <f>13</f>
        <v>13</v>
      </c>
    </row>
    <row r="48" spans="1:24">
      <c r="A48" s="25" t="s">
        <v>1128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768</f>
        <v>768</v>
      </c>
      <c r="L48" s="32" t="s">
        <v>1110</v>
      </c>
      <c r="M48" s="31">
        <f>889</f>
        <v>889</v>
      </c>
      <c r="N48" s="32" t="s">
        <v>677</v>
      </c>
      <c r="O48" s="31">
        <f>693</f>
        <v>693</v>
      </c>
      <c r="P48" s="32" t="s">
        <v>874</v>
      </c>
      <c r="Q48" s="31">
        <f>706</f>
        <v>706</v>
      </c>
      <c r="R48" s="32" t="s">
        <v>883</v>
      </c>
      <c r="S48" s="33">
        <f>745.25</f>
        <v>745.25</v>
      </c>
      <c r="T48" s="30">
        <f>65109</f>
        <v>65109</v>
      </c>
      <c r="U48" s="30" t="str">
        <f>"－"</f>
        <v>－</v>
      </c>
      <c r="V48" s="30">
        <f>50308283</f>
        <v>50308283</v>
      </c>
      <c r="W48" s="30" t="str">
        <f>"－"</f>
        <v>－</v>
      </c>
      <c r="X48" s="34">
        <f>20</f>
        <v>20</v>
      </c>
    </row>
    <row r="49" spans="1:24">
      <c r="A49" s="25" t="s">
        <v>1128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764</f>
        <v>764</v>
      </c>
      <c r="L49" s="32" t="s">
        <v>1110</v>
      </c>
      <c r="M49" s="31">
        <f>807</f>
        <v>807</v>
      </c>
      <c r="N49" s="32" t="s">
        <v>684</v>
      </c>
      <c r="O49" s="31">
        <f>676.5</f>
        <v>676.5</v>
      </c>
      <c r="P49" s="32" t="s">
        <v>679</v>
      </c>
      <c r="Q49" s="31">
        <f>689.8</f>
        <v>689.8</v>
      </c>
      <c r="R49" s="32" t="s">
        <v>883</v>
      </c>
      <c r="S49" s="33">
        <f>722.35</f>
        <v>722.35</v>
      </c>
      <c r="T49" s="30">
        <f>185520</f>
        <v>185520</v>
      </c>
      <c r="U49" s="30">
        <f>60</f>
        <v>60</v>
      </c>
      <c r="V49" s="30">
        <f>138625968</f>
        <v>138625968</v>
      </c>
      <c r="W49" s="30">
        <f>40590</f>
        <v>40590</v>
      </c>
      <c r="X49" s="34">
        <f>20</f>
        <v>20</v>
      </c>
    </row>
    <row r="50" spans="1:24">
      <c r="A50" s="25" t="s">
        <v>1128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309</f>
        <v>309</v>
      </c>
      <c r="L50" s="32" t="s">
        <v>1110</v>
      </c>
      <c r="M50" s="31">
        <f>375</f>
        <v>375</v>
      </c>
      <c r="N50" s="32" t="s">
        <v>677</v>
      </c>
      <c r="O50" s="31">
        <f>279</f>
        <v>279</v>
      </c>
      <c r="P50" s="32" t="s">
        <v>883</v>
      </c>
      <c r="Q50" s="31">
        <f>282</f>
        <v>282</v>
      </c>
      <c r="R50" s="32" t="s">
        <v>883</v>
      </c>
      <c r="S50" s="33">
        <f>298.4</f>
        <v>298.39999999999998</v>
      </c>
      <c r="T50" s="30">
        <f>161402</f>
        <v>161402</v>
      </c>
      <c r="U50" s="30" t="str">
        <f>"－"</f>
        <v>－</v>
      </c>
      <c r="V50" s="30">
        <f>51462068</f>
        <v>51462068</v>
      </c>
      <c r="W50" s="30" t="str">
        <f>"－"</f>
        <v>－</v>
      </c>
      <c r="X50" s="34">
        <f>20</f>
        <v>20</v>
      </c>
    </row>
    <row r="51" spans="1:24">
      <c r="A51" s="25" t="s">
        <v>1128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2715.5</f>
        <v>2715.5</v>
      </c>
      <c r="L51" s="32" t="s">
        <v>1110</v>
      </c>
      <c r="M51" s="31">
        <f>2953</f>
        <v>2953</v>
      </c>
      <c r="N51" s="32" t="s">
        <v>1110</v>
      </c>
      <c r="O51" s="31">
        <f>2656.5</f>
        <v>2656.5</v>
      </c>
      <c r="P51" s="32" t="s">
        <v>677</v>
      </c>
      <c r="Q51" s="31">
        <f>2841</f>
        <v>2841</v>
      </c>
      <c r="R51" s="32" t="s">
        <v>883</v>
      </c>
      <c r="S51" s="33">
        <f>2785.33</f>
        <v>2785.33</v>
      </c>
      <c r="T51" s="30">
        <f>4317570</f>
        <v>4317570</v>
      </c>
      <c r="U51" s="30">
        <f>2956800</f>
        <v>2956800</v>
      </c>
      <c r="V51" s="30">
        <f>12089603090</f>
        <v>12089603090</v>
      </c>
      <c r="W51" s="30">
        <f>8280989135</f>
        <v>8280989135</v>
      </c>
      <c r="X51" s="34">
        <f>20</f>
        <v>20</v>
      </c>
    </row>
    <row r="52" spans="1:24">
      <c r="A52" s="25" t="s">
        <v>1128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24425</f>
        <v>24425</v>
      </c>
      <c r="L52" s="32" t="s">
        <v>1110</v>
      </c>
      <c r="M52" s="31">
        <f>25725</f>
        <v>25725</v>
      </c>
      <c r="N52" s="32" t="s">
        <v>874</v>
      </c>
      <c r="O52" s="31">
        <f>23950</f>
        <v>23950</v>
      </c>
      <c r="P52" s="32" t="s">
        <v>677</v>
      </c>
      <c r="Q52" s="31">
        <f>25560</f>
        <v>25560</v>
      </c>
      <c r="R52" s="32" t="s">
        <v>883</v>
      </c>
      <c r="S52" s="33">
        <f>24931.75</f>
        <v>24931.75</v>
      </c>
      <c r="T52" s="30">
        <f>9847</f>
        <v>9847</v>
      </c>
      <c r="U52" s="30" t="str">
        <f>"－"</f>
        <v>－</v>
      </c>
      <c r="V52" s="30">
        <f>243899320</f>
        <v>243899320</v>
      </c>
      <c r="W52" s="30" t="str">
        <f>"－"</f>
        <v>－</v>
      </c>
      <c r="X52" s="34">
        <f>20</f>
        <v>20</v>
      </c>
    </row>
    <row r="53" spans="1:24">
      <c r="A53" s="25" t="s">
        <v>1128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2746</f>
        <v>2746</v>
      </c>
      <c r="L53" s="32" t="s">
        <v>1110</v>
      </c>
      <c r="M53" s="31">
        <f>2890</f>
        <v>2890</v>
      </c>
      <c r="N53" s="32" t="s">
        <v>874</v>
      </c>
      <c r="O53" s="31">
        <f>2682</f>
        <v>2682</v>
      </c>
      <c r="P53" s="32" t="s">
        <v>677</v>
      </c>
      <c r="Q53" s="31">
        <f>2867</f>
        <v>2867</v>
      </c>
      <c r="R53" s="32" t="s">
        <v>883</v>
      </c>
      <c r="S53" s="33">
        <f>2800.35</f>
        <v>2800.35</v>
      </c>
      <c r="T53" s="30">
        <f>23653981</f>
        <v>23653981</v>
      </c>
      <c r="U53" s="30">
        <f>14458735</f>
        <v>14458735</v>
      </c>
      <c r="V53" s="30">
        <f>66002771340</f>
        <v>66002771340</v>
      </c>
      <c r="W53" s="30">
        <f>40287228618</f>
        <v>40287228618</v>
      </c>
      <c r="X53" s="34">
        <f>20</f>
        <v>20</v>
      </c>
    </row>
    <row r="54" spans="1:24">
      <c r="A54" s="25" t="s">
        <v>1128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1762</f>
        <v>1762</v>
      </c>
      <c r="L54" s="32" t="s">
        <v>1110</v>
      </c>
      <c r="M54" s="31">
        <f>1890</f>
        <v>1890</v>
      </c>
      <c r="N54" s="32" t="s">
        <v>679</v>
      </c>
      <c r="O54" s="31">
        <f>1715</f>
        <v>1715</v>
      </c>
      <c r="P54" s="32" t="s">
        <v>1123</v>
      </c>
      <c r="Q54" s="31">
        <f>1861</f>
        <v>1861</v>
      </c>
      <c r="R54" s="32" t="s">
        <v>883</v>
      </c>
      <c r="S54" s="33">
        <f>1800.25</f>
        <v>1800.25</v>
      </c>
      <c r="T54" s="30">
        <f>19616730</f>
        <v>19616730</v>
      </c>
      <c r="U54" s="30">
        <f>7753387</f>
        <v>7753387</v>
      </c>
      <c r="V54" s="30">
        <f>35408801614</f>
        <v>35408801614</v>
      </c>
      <c r="W54" s="30">
        <f>14113582911</f>
        <v>14113582911</v>
      </c>
      <c r="X54" s="34">
        <f>20</f>
        <v>20</v>
      </c>
    </row>
    <row r="55" spans="1:24">
      <c r="A55" s="25" t="s">
        <v>1128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2501</f>
        <v>2501</v>
      </c>
      <c r="L55" s="32" t="s">
        <v>1110</v>
      </c>
      <c r="M55" s="31">
        <f>2618</f>
        <v>2618</v>
      </c>
      <c r="N55" s="32" t="s">
        <v>874</v>
      </c>
      <c r="O55" s="31">
        <f>2466</f>
        <v>2466</v>
      </c>
      <c r="P55" s="32" t="s">
        <v>677</v>
      </c>
      <c r="Q55" s="31">
        <f>2580</f>
        <v>2580</v>
      </c>
      <c r="R55" s="32" t="s">
        <v>883</v>
      </c>
      <c r="S55" s="33">
        <f>2543.45</f>
        <v>2543.4499999999998</v>
      </c>
      <c r="T55" s="30">
        <f>108332</f>
        <v>108332</v>
      </c>
      <c r="U55" s="30">
        <f>53795</f>
        <v>53795</v>
      </c>
      <c r="V55" s="30">
        <f>279375036</f>
        <v>279375036</v>
      </c>
      <c r="W55" s="30">
        <f>139556042</f>
        <v>139556042</v>
      </c>
      <c r="X55" s="34">
        <f>20</f>
        <v>20</v>
      </c>
    </row>
    <row r="56" spans="1:24">
      <c r="A56" s="25" t="s">
        <v>1128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3520</f>
        <v>3520</v>
      </c>
      <c r="L56" s="32" t="s">
        <v>1110</v>
      </c>
      <c r="M56" s="31">
        <f>3670</f>
        <v>3670</v>
      </c>
      <c r="N56" s="32" t="s">
        <v>874</v>
      </c>
      <c r="O56" s="31">
        <f>3420</f>
        <v>3420</v>
      </c>
      <c r="P56" s="32" t="s">
        <v>677</v>
      </c>
      <c r="Q56" s="31">
        <f>3655</f>
        <v>3655</v>
      </c>
      <c r="R56" s="32" t="s">
        <v>883</v>
      </c>
      <c r="S56" s="33">
        <f>3562.75</f>
        <v>3562.75</v>
      </c>
      <c r="T56" s="30">
        <f>1093482</f>
        <v>1093482</v>
      </c>
      <c r="U56" s="30">
        <f>608925</f>
        <v>608925</v>
      </c>
      <c r="V56" s="30">
        <f>3875395244</f>
        <v>3875395244</v>
      </c>
      <c r="W56" s="30">
        <f>2152778444</f>
        <v>2152778444</v>
      </c>
      <c r="X56" s="34">
        <f>20</f>
        <v>20</v>
      </c>
    </row>
    <row r="57" spans="1:24">
      <c r="A57" s="25" t="s">
        <v>1128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36000</f>
        <v>36000</v>
      </c>
      <c r="L57" s="32" t="s">
        <v>675</v>
      </c>
      <c r="M57" s="31">
        <f>36190</f>
        <v>36190</v>
      </c>
      <c r="N57" s="32" t="s">
        <v>1111</v>
      </c>
      <c r="O57" s="31">
        <f>34050</f>
        <v>34050</v>
      </c>
      <c r="P57" s="32" t="s">
        <v>677</v>
      </c>
      <c r="Q57" s="31">
        <f>36100</f>
        <v>36100</v>
      </c>
      <c r="R57" s="32" t="s">
        <v>1114</v>
      </c>
      <c r="S57" s="33">
        <f>35345</f>
        <v>35345</v>
      </c>
      <c r="T57" s="30">
        <f>80</f>
        <v>80</v>
      </c>
      <c r="U57" s="30" t="str">
        <f>"－"</f>
        <v>－</v>
      </c>
      <c r="V57" s="30">
        <f>2823450</f>
        <v>2823450</v>
      </c>
      <c r="W57" s="30" t="str">
        <f>"－"</f>
        <v>－</v>
      </c>
      <c r="X57" s="34">
        <f>14</f>
        <v>14</v>
      </c>
    </row>
    <row r="58" spans="1:24">
      <c r="A58" s="25" t="s">
        <v>1128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27100</f>
        <v>27100</v>
      </c>
      <c r="L58" s="32" t="s">
        <v>1110</v>
      </c>
      <c r="M58" s="31">
        <f>29215</f>
        <v>29215</v>
      </c>
      <c r="N58" s="32" t="s">
        <v>874</v>
      </c>
      <c r="O58" s="31">
        <f>25900</f>
        <v>25900</v>
      </c>
      <c r="P58" s="32" t="s">
        <v>675</v>
      </c>
      <c r="Q58" s="31">
        <f>28135</f>
        <v>28135</v>
      </c>
      <c r="R58" s="32" t="s">
        <v>883</v>
      </c>
      <c r="S58" s="33">
        <f>27538.67</f>
        <v>27538.67</v>
      </c>
      <c r="T58" s="30">
        <f>175</f>
        <v>175</v>
      </c>
      <c r="U58" s="30" t="str">
        <f>"－"</f>
        <v>－</v>
      </c>
      <c r="V58" s="30">
        <f>4789420</f>
        <v>4789420</v>
      </c>
      <c r="W58" s="30" t="str">
        <f>"－"</f>
        <v>－</v>
      </c>
      <c r="X58" s="34">
        <f>15</f>
        <v>15</v>
      </c>
    </row>
    <row r="59" spans="1:24">
      <c r="A59" s="25" t="s">
        <v>1128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2725</f>
        <v>2725</v>
      </c>
      <c r="L59" s="32" t="s">
        <v>1110</v>
      </c>
      <c r="M59" s="31">
        <f>2900</f>
        <v>2900</v>
      </c>
      <c r="N59" s="32" t="s">
        <v>1111</v>
      </c>
      <c r="O59" s="31">
        <f>2665</f>
        <v>2665</v>
      </c>
      <c r="P59" s="32" t="s">
        <v>677</v>
      </c>
      <c r="Q59" s="31">
        <f>2861</f>
        <v>2861</v>
      </c>
      <c r="R59" s="32" t="s">
        <v>883</v>
      </c>
      <c r="S59" s="33">
        <f>2778.58</f>
        <v>2778.58</v>
      </c>
      <c r="T59" s="30">
        <f>2230</f>
        <v>2230</v>
      </c>
      <c r="U59" s="30" t="str">
        <f>"－"</f>
        <v>－</v>
      </c>
      <c r="V59" s="30">
        <f>6180305</f>
        <v>6180305</v>
      </c>
      <c r="W59" s="30" t="str">
        <f>"－"</f>
        <v>－</v>
      </c>
      <c r="X59" s="34">
        <f>19</f>
        <v>19</v>
      </c>
    </row>
    <row r="60" spans="1:24">
      <c r="A60" s="25" t="s">
        <v>1128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1743</f>
        <v>1743</v>
      </c>
      <c r="L60" s="32" t="s">
        <v>1110</v>
      </c>
      <c r="M60" s="31">
        <f>1770</f>
        <v>1770</v>
      </c>
      <c r="N60" s="32" t="s">
        <v>684</v>
      </c>
      <c r="O60" s="31">
        <f>1732</f>
        <v>1732</v>
      </c>
      <c r="P60" s="32" t="s">
        <v>680</v>
      </c>
      <c r="Q60" s="31">
        <f>1749</f>
        <v>1749</v>
      </c>
      <c r="R60" s="32" t="s">
        <v>883</v>
      </c>
      <c r="S60" s="33">
        <f>1750.8</f>
        <v>1750.8</v>
      </c>
      <c r="T60" s="30">
        <f>7155288</f>
        <v>7155288</v>
      </c>
      <c r="U60" s="30">
        <f>3752403</f>
        <v>3752403</v>
      </c>
      <c r="V60" s="30">
        <f>12540749699</f>
        <v>12540749699</v>
      </c>
      <c r="W60" s="30">
        <f>6590147681</f>
        <v>6590147681</v>
      </c>
      <c r="X60" s="34">
        <f>20</f>
        <v>20</v>
      </c>
    </row>
    <row r="61" spans="1:24">
      <c r="A61" s="25" t="s">
        <v>1128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2687</f>
        <v>2687</v>
      </c>
      <c r="L61" s="32" t="s">
        <v>1110</v>
      </c>
      <c r="M61" s="31">
        <f>2900</f>
        <v>2900</v>
      </c>
      <c r="N61" s="32" t="s">
        <v>874</v>
      </c>
      <c r="O61" s="31">
        <f>2643</f>
        <v>2643</v>
      </c>
      <c r="P61" s="32" t="s">
        <v>675</v>
      </c>
      <c r="Q61" s="31">
        <f>2796</f>
        <v>2796</v>
      </c>
      <c r="R61" s="32" t="s">
        <v>883</v>
      </c>
      <c r="S61" s="33">
        <f>2722.63</f>
        <v>2722.63</v>
      </c>
      <c r="T61" s="30">
        <f>1430</f>
        <v>1430</v>
      </c>
      <c r="U61" s="30" t="str">
        <f>"－"</f>
        <v>－</v>
      </c>
      <c r="V61" s="30">
        <f>3924359</f>
        <v>3924359</v>
      </c>
      <c r="W61" s="30" t="str">
        <f>"－"</f>
        <v>－</v>
      </c>
      <c r="X61" s="34">
        <f>19</f>
        <v>19</v>
      </c>
    </row>
    <row r="62" spans="1:24">
      <c r="A62" s="25" t="s">
        <v>1128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2676.5</f>
        <v>2676.5</v>
      </c>
      <c r="L62" s="32" t="s">
        <v>1110</v>
      </c>
      <c r="M62" s="31">
        <f>2804.5</f>
        <v>2804.5</v>
      </c>
      <c r="N62" s="32" t="s">
        <v>883</v>
      </c>
      <c r="O62" s="31">
        <f>2631</f>
        <v>2631</v>
      </c>
      <c r="P62" s="32" t="s">
        <v>677</v>
      </c>
      <c r="Q62" s="31">
        <f>2771.5</f>
        <v>2771.5</v>
      </c>
      <c r="R62" s="32" t="s">
        <v>883</v>
      </c>
      <c r="S62" s="33">
        <f>2718.75</f>
        <v>2718.75</v>
      </c>
      <c r="T62" s="30">
        <f>24610</f>
        <v>24610</v>
      </c>
      <c r="U62" s="30" t="str">
        <f>"－"</f>
        <v>－</v>
      </c>
      <c r="V62" s="30">
        <f>66904100</f>
        <v>66904100</v>
      </c>
      <c r="W62" s="30" t="str">
        <f>"－"</f>
        <v>－</v>
      </c>
      <c r="X62" s="34">
        <f>20</f>
        <v>20</v>
      </c>
    </row>
    <row r="63" spans="1:24">
      <c r="A63" s="25" t="s">
        <v>1128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37660</f>
        <v>37660</v>
      </c>
      <c r="L63" s="32" t="s">
        <v>1124</v>
      </c>
      <c r="M63" s="31">
        <f>39230</f>
        <v>39230</v>
      </c>
      <c r="N63" s="32" t="s">
        <v>874</v>
      </c>
      <c r="O63" s="31">
        <f>37610</f>
        <v>37610</v>
      </c>
      <c r="P63" s="32" t="s">
        <v>1115</v>
      </c>
      <c r="Q63" s="31">
        <f>39230</f>
        <v>39230</v>
      </c>
      <c r="R63" s="32" t="s">
        <v>874</v>
      </c>
      <c r="S63" s="33">
        <f>38371.43</f>
        <v>38371.43</v>
      </c>
      <c r="T63" s="30">
        <f>41</f>
        <v>41</v>
      </c>
      <c r="U63" s="30" t="str">
        <f>"－"</f>
        <v>－</v>
      </c>
      <c r="V63" s="30">
        <f>1588010</f>
        <v>1588010</v>
      </c>
      <c r="W63" s="30" t="str">
        <f>"－"</f>
        <v>－</v>
      </c>
      <c r="X63" s="34">
        <f>7</f>
        <v>7</v>
      </c>
    </row>
    <row r="64" spans="1:24">
      <c r="A64" s="25" t="s">
        <v>1128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23240</f>
        <v>23240</v>
      </c>
      <c r="L64" s="32" t="s">
        <v>1110</v>
      </c>
      <c r="M64" s="31">
        <f>23695</f>
        <v>23695</v>
      </c>
      <c r="N64" s="32" t="s">
        <v>1114</v>
      </c>
      <c r="O64" s="31">
        <f>22940</f>
        <v>22940</v>
      </c>
      <c r="P64" s="32" t="s">
        <v>875</v>
      </c>
      <c r="Q64" s="31">
        <f>23615</f>
        <v>23615</v>
      </c>
      <c r="R64" s="32" t="s">
        <v>883</v>
      </c>
      <c r="S64" s="33">
        <f>23317.5</f>
        <v>23317.5</v>
      </c>
      <c r="T64" s="30">
        <f>938455</f>
        <v>938455</v>
      </c>
      <c r="U64" s="30">
        <f>912954</f>
        <v>912954</v>
      </c>
      <c r="V64" s="30">
        <f>22031447905</f>
        <v>22031447905</v>
      </c>
      <c r="W64" s="30">
        <f>21439621550</f>
        <v>21439621550</v>
      </c>
      <c r="X64" s="34">
        <f>20</f>
        <v>20</v>
      </c>
    </row>
    <row r="65" spans="1:24">
      <c r="A65" s="25" t="s">
        <v>1128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13365</f>
        <v>13365</v>
      </c>
      <c r="L65" s="32" t="s">
        <v>1110</v>
      </c>
      <c r="M65" s="31">
        <f>13570</f>
        <v>13570</v>
      </c>
      <c r="N65" s="32" t="s">
        <v>1113</v>
      </c>
      <c r="O65" s="31">
        <f>13285</f>
        <v>13285</v>
      </c>
      <c r="P65" s="32" t="s">
        <v>680</v>
      </c>
      <c r="Q65" s="31">
        <f>13420</f>
        <v>13420</v>
      </c>
      <c r="R65" s="32" t="s">
        <v>883</v>
      </c>
      <c r="S65" s="33">
        <f>13428.75</f>
        <v>13428.75</v>
      </c>
      <c r="T65" s="30">
        <f>820493</f>
        <v>820493</v>
      </c>
      <c r="U65" s="30">
        <f>693866</f>
        <v>693866</v>
      </c>
      <c r="V65" s="30">
        <f>10972167390</f>
        <v>10972167390</v>
      </c>
      <c r="W65" s="30">
        <f>9274648275</f>
        <v>9274648275</v>
      </c>
      <c r="X65" s="34">
        <f>20</f>
        <v>20</v>
      </c>
    </row>
    <row r="66" spans="1:24">
      <c r="A66" s="25" t="s">
        <v>1128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10</v>
      </c>
      <c r="K66" s="31">
        <f>1769.5</f>
        <v>1769.5</v>
      </c>
      <c r="L66" s="32" t="s">
        <v>1110</v>
      </c>
      <c r="M66" s="31">
        <f>1878</f>
        <v>1878</v>
      </c>
      <c r="N66" s="32" t="s">
        <v>679</v>
      </c>
      <c r="O66" s="31">
        <f>1704.5</f>
        <v>1704.5</v>
      </c>
      <c r="P66" s="32" t="s">
        <v>1123</v>
      </c>
      <c r="Q66" s="31">
        <f>1851</f>
        <v>1851</v>
      </c>
      <c r="R66" s="32" t="s">
        <v>883</v>
      </c>
      <c r="S66" s="33">
        <f>1788.35</f>
        <v>1788.35</v>
      </c>
      <c r="T66" s="30">
        <f>7330660</f>
        <v>7330660</v>
      </c>
      <c r="U66" s="30">
        <f>1154150</f>
        <v>1154150</v>
      </c>
      <c r="V66" s="30">
        <f>13392792808</f>
        <v>13392792808</v>
      </c>
      <c r="W66" s="30">
        <f>2109514218</f>
        <v>2109514218</v>
      </c>
      <c r="X66" s="34">
        <f>20</f>
        <v>20</v>
      </c>
    </row>
    <row r="67" spans="1:24">
      <c r="A67" s="25" t="s">
        <v>1128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2219</f>
        <v>2219</v>
      </c>
      <c r="L67" s="32" t="s">
        <v>1110</v>
      </c>
      <c r="M67" s="31">
        <f>2330</f>
        <v>2330</v>
      </c>
      <c r="N67" s="32" t="s">
        <v>1114</v>
      </c>
      <c r="O67" s="31">
        <f>2162</f>
        <v>2162</v>
      </c>
      <c r="P67" s="32" t="s">
        <v>677</v>
      </c>
      <c r="Q67" s="31">
        <f>2315</f>
        <v>2315</v>
      </c>
      <c r="R67" s="32" t="s">
        <v>883</v>
      </c>
      <c r="S67" s="33">
        <f>2259.65</f>
        <v>2259.65</v>
      </c>
      <c r="T67" s="30">
        <f>18827013</f>
        <v>18827013</v>
      </c>
      <c r="U67" s="30">
        <f>2439027</f>
        <v>2439027</v>
      </c>
      <c r="V67" s="30">
        <f>42544427212</f>
        <v>42544427212</v>
      </c>
      <c r="W67" s="30">
        <f>5492694245</f>
        <v>5492694245</v>
      </c>
      <c r="X67" s="34">
        <f>20</f>
        <v>20</v>
      </c>
    </row>
    <row r="68" spans="1:24">
      <c r="A68" s="25" t="s">
        <v>1128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7640</f>
        <v>7640</v>
      </c>
      <c r="L68" s="32" t="s">
        <v>1110</v>
      </c>
      <c r="M68" s="31">
        <f>7640</f>
        <v>7640</v>
      </c>
      <c r="N68" s="32" t="s">
        <v>1110</v>
      </c>
      <c r="O68" s="31">
        <f>7438</f>
        <v>7438</v>
      </c>
      <c r="P68" s="32" t="s">
        <v>674</v>
      </c>
      <c r="Q68" s="31">
        <f>7552</f>
        <v>7552</v>
      </c>
      <c r="R68" s="32" t="s">
        <v>1111</v>
      </c>
      <c r="S68" s="33">
        <f>7541.63</f>
        <v>7541.63</v>
      </c>
      <c r="T68" s="30">
        <f>50310</f>
        <v>50310</v>
      </c>
      <c r="U68" s="30">
        <f>50000</f>
        <v>50000</v>
      </c>
      <c r="V68" s="30">
        <f>379458310</f>
        <v>379458310</v>
      </c>
      <c r="W68" s="30">
        <f>377120000</f>
        <v>377120000</v>
      </c>
      <c r="X68" s="34">
        <f>8</f>
        <v>8</v>
      </c>
    </row>
    <row r="69" spans="1:24">
      <c r="A69" s="25" t="s">
        <v>1128</v>
      </c>
      <c r="B69" s="25" t="s">
        <v>192</v>
      </c>
      <c r="C69" s="25" t="s">
        <v>193</v>
      </c>
      <c r="D69" s="25" t="s">
        <v>194</v>
      </c>
      <c r="E69" s="26" t="s">
        <v>43</v>
      </c>
      <c r="F69" s="27" t="s">
        <v>43</v>
      </c>
      <c r="G69" s="28" t="s">
        <v>43</v>
      </c>
      <c r="H69" s="29" t="s">
        <v>761</v>
      </c>
      <c r="I69" s="29"/>
      <c r="J69" s="30">
        <v>1</v>
      </c>
      <c r="K69" s="31">
        <f>18710</f>
        <v>18710</v>
      </c>
      <c r="L69" s="32" t="s">
        <v>1110</v>
      </c>
      <c r="M69" s="31">
        <f>21040</f>
        <v>21040</v>
      </c>
      <c r="N69" s="32" t="s">
        <v>1124</v>
      </c>
      <c r="O69" s="31">
        <f>18375</f>
        <v>18375</v>
      </c>
      <c r="P69" s="32" t="s">
        <v>875</v>
      </c>
      <c r="Q69" s="31">
        <f>19700</f>
        <v>19700</v>
      </c>
      <c r="R69" s="32" t="s">
        <v>883</v>
      </c>
      <c r="S69" s="33">
        <f>19301.5</f>
        <v>19301.5</v>
      </c>
      <c r="T69" s="30">
        <f>8424</f>
        <v>8424</v>
      </c>
      <c r="U69" s="30" t="str">
        <f>"－"</f>
        <v>－</v>
      </c>
      <c r="V69" s="30">
        <f>160684015</f>
        <v>160684015</v>
      </c>
      <c r="W69" s="30" t="str">
        <f>"－"</f>
        <v>－</v>
      </c>
      <c r="X69" s="34">
        <f>20</f>
        <v>20</v>
      </c>
    </row>
    <row r="70" spans="1:24">
      <c r="A70" s="25" t="s">
        <v>1128</v>
      </c>
      <c r="B70" s="25" t="s">
        <v>195</v>
      </c>
      <c r="C70" s="25" t="s">
        <v>196</v>
      </c>
      <c r="D70" s="25" t="s">
        <v>197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19385</f>
        <v>19385</v>
      </c>
      <c r="L70" s="32" t="s">
        <v>1110</v>
      </c>
      <c r="M70" s="31">
        <f>20270</f>
        <v>20270</v>
      </c>
      <c r="N70" s="32" t="s">
        <v>1114</v>
      </c>
      <c r="O70" s="31">
        <f>18810</f>
        <v>18810</v>
      </c>
      <c r="P70" s="32" t="s">
        <v>677</v>
      </c>
      <c r="Q70" s="31">
        <f>20195</f>
        <v>20195</v>
      </c>
      <c r="R70" s="32" t="s">
        <v>883</v>
      </c>
      <c r="S70" s="33">
        <f>19473.5</f>
        <v>19473.5</v>
      </c>
      <c r="T70" s="30">
        <f>10206</f>
        <v>10206</v>
      </c>
      <c r="U70" s="30">
        <f>4</f>
        <v>4</v>
      </c>
      <c r="V70" s="30">
        <f>200059650</f>
        <v>200059650</v>
      </c>
      <c r="W70" s="30">
        <f>78070</f>
        <v>78070</v>
      </c>
      <c r="X70" s="34">
        <f>20</f>
        <v>20</v>
      </c>
    </row>
    <row r="71" spans="1:24">
      <c r="A71" s="25" t="s">
        <v>1128</v>
      </c>
      <c r="B71" s="25" t="s">
        <v>198</v>
      </c>
      <c r="C71" s="25" t="s">
        <v>199</v>
      </c>
      <c r="D71" s="25" t="s">
        <v>200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29120</f>
        <v>29120</v>
      </c>
      <c r="L71" s="32" t="s">
        <v>1110</v>
      </c>
      <c r="M71" s="31">
        <f>31020</f>
        <v>31020</v>
      </c>
      <c r="N71" s="32" t="s">
        <v>1114</v>
      </c>
      <c r="O71" s="31">
        <f>28655</f>
        <v>28655</v>
      </c>
      <c r="P71" s="32" t="s">
        <v>677</v>
      </c>
      <c r="Q71" s="31">
        <f>30840</f>
        <v>30840</v>
      </c>
      <c r="R71" s="32" t="s">
        <v>883</v>
      </c>
      <c r="S71" s="33">
        <f>29905</f>
        <v>29905</v>
      </c>
      <c r="T71" s="30">
        <f>22064</f>
        <v>22064</v>
      </c>
      <c r="U71" s="30">
        <f>4833</f>
        <v>4833</v>
      </c>
      <c r="V71" s="30">
        <f>660636236</f>
        <v>660636236</v>
      </c>
      <c r="W71" s="30">
        <f>148746886</f>
        <v>148746886</v>
      </c>
      <c r="X71" s="34">
        <f>20</f>
        <v>20</v>
      </c>
    </row>
    <row r="72" spans="1:24">
      <c r="A72" s="25" t="s">
        <v>1128</v>
      </c>
      <c r="B72" s="25" t="s">
        <v>201</v>
      </c>
      <c r="C72" s="25" t="s">
        <v>202</v>
      </c>
      <c r="D72" s="25" t="s">
        <v>203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10</v>
      </c>
      <c r="K72" s="31">
        <f>10355</f>
        <v>10355</v>
      </c>
      <c r="L72" s="32" t="s">
        <v>1110</v>
      </c>
      <c r="M72" s="31">
        <f>10360</f>
        <v>10360</v>
      </c>
      <c r="N72" s="32" t="s">
        <v>675</v>
      </c>
      <c r="O72" s="31">
        <f>10060</f>
        <v>10060</v>
      </c>
      <c r="P72" s="32" t="s">
        <v>875</v>
      </c>
      <c r="Q72" s="31">
        <f>10280</f>
        <v>10280</v>
      </c>
      <c r="R72" s="32" t="s">
        <v>883</v>
      </c>
      <c r="S72" s="33">
        <f>10202.25</f>
        <v>10202.25</v>
      </c>
      <c r="T72" s="30">
        <f>11130</f>
        <v>11130</v>
      </c>
      <c r="U72" s="30" t="str">
        <f>"－"</f>
        <v>－</v>
      </c>
      <c r="V72" s="30">
        <f>113667050</f>
        <v>113667050</v>
      </c>
      <c r="W72" s="30" t="str">
        <f>"－"</f>
        <v>－</v>
      </c>
      <c r="X72" s="34">
        <f>20</f>
        <v>20</v>
      </c>
    </row>
    <row r="73" spans="1:24">
      <c r="A73" s="25" t="s">
        <v>1128</v>
      </c>
      <c r="B73" s="25" t="s">
        <v>204</v>
      </c>
      <c r="C73" s="25" t="s">
        <v>205</v>
      </c>
      <c r="D73" s="25" t="s">
        <v>206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1861</f>
        <v>1861</v>
      </c>
      <c r="L73" s="32" t="s">
        <v>1110</v>
      </c>
      <c r="M73" s="31">
        <f>1894</f>
        <v>1894</v>
      </c>
      <c r="N73" s="32" t="s">
        <v>684</v>
      </c>
      <c r="O73" s="31">
        <f>1858</f>
        <v>1858</v>
      </c>
      <c r="P73" s="32" t="s">
        <v>1110</v>
      </c>
      <c r="Q73" s="31">
        <f>1884</f>
        <v>1884</v>
      </c>
      <c r="R73" s="32" t="s">
        <v>883</v>
      </c>
      <c r="S73" s="33">
        <f>1877.45</f>
        <v>1877.45</v>
      </c>
      <c r="T73" s="30">
        <f>1221745</f>
        <v>1221745</v>
      </c>
      <c r="U73" s="30">
        <f>711469</f>
        <v>711469</v>
      </c>
      <c r="V73" s="30">
        <f>2288249916</f>
        <v>2288249916</v>
      </c>
      <c r="W73" s="30">
        <f>1330418191</f>
        <v>1330418191</v>
      </c>
      <c r="X73" s="34">
        <f>20</f>
        <v>20</v>
      </c>
    </row>
    <row r="74" spans="1:24">
      <c r="A74" s="25" t="s">
        <v>1128</v>
      </c>
      <c r="B74" s="25" t="s">
        <v>207</v>
      </c>
      <c r="C74" s="25" t="s">
        <v>208</v>
      </c>
      <c r="D74" s="25" t="s">
        <v>209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1888</f>
        <v>1888</v>
      </c>
      <c r="L74" s="32" t="s">
        <v>1110</v>
      </c>
      <c r="M74" s="31">
        <f>1910</f>
        <v>1910</v>
      </c>
      <c r="N74" s="32" t="s">
        <v>883</v>
      </c>
      <c r="O74" s="31">
        <f>1885</f>
        <v>1885</v>
      </c>
      <c r="P74" s="32" t="s">
        <v>1110</v>
      </c>
      <c r="Q74" s="31">
        <f>1909</f>
        <v>1909</v>
      </c>
      <c r="R74" s="32" t="s">
        <v>883</v>
      </c>
      <c r="S74" s="33">
        <f>1897.15</f>
        <v>1897.15</v>
      </c>
      <c r="T74" s="30">
        <f>814215</f>
        <v>814215</v>
      </c>
      <c r="U74" s="30">
        <f>220020</f>
        <v>220020</v>
      </c>
      <c r="V74" s="30">
        <f>1545119443</f>
        <v>1545119443</v>
      </c>
      <c r="W74" s="30">
        <f>418129420</f>
        <v>418129420</v>
      </c>
      <c r="X74" s="34">
        <f>20</f>
        <v>20</v>
      </c>
    </row>
    <row r="75" spans="1:24">
      <c r="A75" s="25" t="s">
        <v>1128</v>
      </c>
      <c r="B75" s="25" t="s">
        <v>210</v>
      </c>
      <c r="C75" s="25" t="s">
        <v>211</v>
      </c>
      <c r="D75" s="25" t="s">
        <v>212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21215</f>
        <v>21215</v>
      </c>
      <c r="L75" s="32" t="s">
        <v>1110</v>
      </c>
      <c r="M75" s="31">
        <f>22835</f>
        <v>22835</v>
      </c>
      <c r="N75" s="32" t="s">
        <v>679</v>
      </c>
      <c r="O75" s="31">
        <f>20620</f>
        <v>20620</v>
      </c>
      <c r="P75" s="32" t="s">
        <v>677</v>
      </c>
      <c r="Q75" s="31">
        <f>22210</f>
        <v>22210</v>
      </c>
      <c r="R75" s="32" t="s">
        <v>883</v>
      </c>
      <c r="S75" s="33">
        <f>21589.25</f>
        <v>21589.25</v>
      </c>
      <c r="T75" s="30">
        <f>8345</f>
        <v>8345</v>
      </c>
      <c r="U75" s="30">
        <f>3001</f>
        <v>3001</v>
      </c>
      <c r="V75" s="30">
        <f>178700950</f>
        <v>178700950</v>
      </c>
      <c r="W75" s="30">
        <f>62459530</f>
        <v>62459530</v>
      </c>
      <c r="X75" s="34">
        <f>20</f>
        <v>20</v>
      </c>
    </row>
    <row r="76" spans="1:24">
      <c r="A76" s="25" t="s">
        <v>1128</v>
      </c>
      <c r="B76" s="25" t="s">
        <v>213</v>
      </c>
      <c r="C76" s="25" t="s">
        <v>214</v>
      </c>
      <c r="D76" s="25" t="s">
        <v>215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9480</f>
        <v>9480</v>
      </c>
      <c r="L76" s="32" t="s">
        <v>1110</v>
      </c>
      <c r="M76" s="31">
        <f>9481</f>
        <v>9481</v>
      </c>
      <c r="N76" s="32" t="s">
        <v>1110</v>
      </c>
      <c r="O76" s="31">
        <f>9330</f>
        <v>9330</v>
      </c>
      <c r="P76" s="32" t="s">
        <v>875</v>
      </c>
      <c r="Q76" s="31">
        <f>9430</f>
        <v>9430</v>
      </c>
      <c r="R76" s="32" t="s">
        <v>883</v>
      </c>
      <c r="S76" s="33">
        <f>9411.6</f>
        <v>9411.6</v>
      </c>
      <c r="T76" s="30">
        <f>2157</f>
        <v>2157</v>
      </c>
      <c r="U76" s="30">
        <f>2</f>
        <v>2</v>
      </c>
      <c r="V76" s="30">
        <f>20296961</f>
        <v>20296961</v>
      </c>
      <c r="W76" s="30">
        <f>18818</f>
        <v>18818</v>
      </c>
      <c r="X76" s="34">
        <f>20</f>
        <v>20</v>
      </c>
    </row>
    <row r="77" spans="1:24">
      <c r="A77" s="25" t="s">
        <v>1128</v>
      </c>
      <c r="B77" s="25" t="s">
        <v>216</v>
      </c>
      <c r="C77" s="25" t="s">
        <v>217</v>
      </c>
      <c r="D77" s="25" t="s">
        <v>218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9334</f>
        <v>9334</v>
      </c>
      <c r="L77" s="32" t="s">
        <v>1110</v>
      </c>
      <c r="M77" s="31">
        <f>10825</f>
        <v>10825</v>
      </c>
      <c r="N77" s="32" t="s">
        <v>1114</v>
      </c>
      <c r="O77" s="31">
        <f>9334</f>
        <v>9334</v>
      </c>
      <c r="P77" s="32" t="s">
        <v>1110</v>
      </c>
      <c r="Q77" s="31">
        <f>10500</f>
        <v>10500</v>
      </c>
      <c r="R77" s="32" t="s">
        <v>883</v>
      </c>
      <c r="S77" s="33">
        <f>9899.75</f>
        <v>9899.75</v>
      </c>
      <c r="T77" s="30">
        <f>4456058</f>
        <v>4456058</v>
      </c>
      <c r="U77" s="30">
        <f>93220</f>
        <v>93220</v>
      </c>
      <c r="V77" s="30">
        <f>44513442690</f>
        <v>44513442690</v>
      </c>
      <c r="W77" s="30">
        <f>914295474</f>
        <v>914295474</v>
      </c>
      <c r="X77" s="34">
        <f>20</f>
        <v>20</v>
      </c>
    </row>
    <row r="78" spans="1:24">
      <c r="A78" s="25" t="s">
        <v>1128</v>
      </c>
      <c r="B78" s="25" t="s">
        <v>219</v>
      </c>
      <c r="C78" s="25" t="s">
        <v>220</v>
      </c>
      <c r="D78" s="25" t="s">
        <v>221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3925</f>
        <v>3925</v>
      </c>
      <c r="L78" s="32" t="s">
        <v>1110</v>
      </c>
      <c r="M78" s="31">
        <f>4045</f>
        <v>4045</v>
      </c>
      <c r="N78" s="32" t="s">
        <v>678</v>
      </c>
      <c r="O78" s="31">
        <f>3915</f>
        <v>3915</v>
      </c>
      <c r="P78" s="32" t="s">
        <v>1110</v>
      </c>
      <c r="Q78" s="31">
        <f>4000</f>
        <v>4000</v>
      </c>
      <c r="R78" s="32" t="s">
        <v>883</v>
      </c>
      <c r="S78" s="33">
        <f>3978.5</f>
        <v>3978.5</v>
      </c>
      <c r="T78" s="30">
        <f>578098</f>
        <v>578098</v>
      </c>
      <c r="U78" s="30">
        <f>656</f>
        <v>656</v>
      </c>
      <c r="V78" s="30">
        <f>2300175515</f>
        <v>2300175515</v>
      </c>
      <c r="W78" s="30">
        <f>2576620</f>
        <v>2576620</v>
      </c>
      <c r="X78" s="34">
        <f>20</f>
        <v>20</v>
      </c>
    </row>
    <row r="79" spans="1:24">
      <c r="A79" s="25" t="s">
        <v>1128</v>
      </c>
      <c r="B79" s="25" t="s">
        <v>222</v>
      </c>
      <c r="C79" s="25" t="s">
        <v>223</v>
      </c>
      <c r="D79" s="25" t="s">
        <v>224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9868</f>
        <v>9868</v>
      </c>
      <c r="L79" s="32" t="s">
        <v>1110</v>
      </c>
      <c r="M79" s="31">
        <f>12200</f>
        <v>12200</v>
      </c>
      <c r="N79" s="32" t="s">
        <v>883</v>
      </c>
      <c r="O79" s="31">
        <f>9854</f>
        <v>9854</v>
      </c>
      <c r="P79" s="32" t="s">
        <v>1110</v>
      </c>
      <c r="Q79" s="31">
        <f>11845</f>
        <v>11845</v>
      </c>
      <c r="R79" s="32" t="s">
        <v>883</v>
      </c>
      <c r="S79" s="33">
        <f>10714</f>
        <v>10714</v>
      </c>
      <c r="T79" s="30">
        <f>254206</f>
        <v>254206</v>
      </c>
      <c r="U79" s="30" t="str">
        <f>"－"</f>
        <v>－</v>
      </c>
      <c r="V79" s="30">
        <f>2748104090</f>
        <v>2748104090</v>
      </c>
      <c r="W79" s="30" t="str">
        <f>"－"</f>
        <v>－</v>
      </c>
      <c r="X79" s="34">
        <f>20</f>
        <v>20</v>
      </c>
    </row>
    <row r="80" spans="1:24">
      <c r="A80" s="25" t="s">
        <v>1128</v>
      </c>
      <c r="B80" s="25" t="s">
        <v>225</v>
      </c>
      <c r="C80" s="25" t="s">
        <v>226</v>
      </c>
      <c r="D80" s="25" t="s">
        <v>227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42000</f>
        <v>42000</v>
      </c>
      <c r="L80" s="32" t="s">
        <v>1110</v>
      </c>
      <c r="M80" s="31">
        <f>45780</f>
        <v>45780</v>
      </c>
      <c r="N80" s="32" t="s">
        <v>1115</v>
      </c>
      <c r="O80" s="31">
        <f>41750</f>
        <v>41750</v>
      </c>
      <c r="P80" s="32" t="s">
        <v>1110</v>
      </c>
      <c r="Q80" s="31">
        <f>43900</f>
        <v>43900</v>
      </c>
      <c r="R80" s="32" t="s">
        <v>883</v>
      </c>
      <c r="S80" s="33">
        <f>43554</f>
        <v>43554</v>
      </c>
      <c r="T80" s="30">
        <f>7644</f>
        <v>7644</v>
      </c>
      <c r="U80" s="30">
        <f>1</f>
        <v>1</v>
      </c>
      <c r="V80" s="30">
        <f>337053050</f>
        <v>337053050</v>
      </c>
      <c r="W80" s="30">
        <f>43630</f>
        <v>43630</v>
      </c>
      <c r="X80" s="34">
        <f>20</f>
        <v>20</v>
      </c>
    </row>
    <row r="81" spans="1:24">
      <c r="A81" s="25" t="s">
        <v>1128</v>
      </c>
      <c r="B81" s="25" t="s">
        <v>228</v>
      </c>
      <c r="C81" s="25" t="s">
        <v>779</v>
      </c>
      <c r="D81" s="25" t="s">
        <v>780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27405</f>
        <v>27405</v>
      </c>
      <c r="L81" s="32" t="s">
        <v>1110</v>
      </c>
      <c r="M81" s="31">
        <f>28230</f>
        <v>28230</v>
      </c>
      <c r="N81" s="32" t="s">
        <v>874</v>
      </c>
      <c r="O81" s="31">
        <f>26755</f>
        <v>26755</v>
      </c>
      <c r="P81" s="32" t="s">
        <v>684</v>
      </c>
      <c r="Q81" s="31">
        <f>27970</f>
        <v>27970</v>
      </c>
      <c r="R81" s="32" t="s">
        <v>883</v>
      </c>
      <c r="S81" s="33">
        <f>27562.75</f>
        <v>27562.75</v>
      </c>
      <c r="T81" s="30">
        <f>1237521</f>
        <v>1237521</v>
      </c>
      <c r="U81" s="30">
        <f>5572</f>
        <v>5572</v>
      </c>
      <c r="V81" s="30">
        <f>34141886874</f>
        <v>34141886874</v>
      </c>
      <c r="W81" s="30">
        <f>153706584</f>
        <v>153706584</v>
      </c>
      <c r="X81" s="34">
        <f>20</f>
        <v>20</v>
      </c>
    </row>
    <row r="82" spans="1:24">
      <c r="A82" s="25" t="s">
        <v>1128</v>
      </c>
      <c r="B82" s="25" t="s">
        <v>229</v>
      </c>
      <c r="C82" s="25" t="s">
        <v>781</v>
      </c>
      <c r="D82" s="25" t="s">
        <v>782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</v>
      </c>
      <c r="K82" s="31">
        <f>57180</f>
        <v>57180</v>
      </c>
      <c r="L82" s="32" t="s">
        <v>1110</v>
      </c>
      <c r="M82" s="31">
        <f>59160</f>
        <v>59160</v>
      </c>
      <c r="N82" s="32" t="s">
        <v>874</v>
      </c>
      <c r="O82" s="31">
        <f>55550</f>
        <v>55550</v>
      </c>
      <c r="P82" s="32" t="s">
        <v>684</v>
      </c>
      <c r="Q82" s="31">
        <f>58850</f>
        <v>58850</v>
      </c>
      <c r="R82" s="32" t="s">
        <v>883</v>
      </c>
      <c r="S82" s="33">
        <f>57312</f>
        <v>57312</v>
      </c>
      <c r="T82" s="30">
        <f>63475</f>
        <v>63475</v>
      </c>
      <c r="U82" s="30">
        <f>3000</f>
        <v>3000</v>
      </c>
      <c r="V82" s="30">
        <f>3665126066</f>
        <v>3665126066</v>
      </c>
      <c r="W82" s="30">
        <f>169809466</f>
        <v>169809466</v>
      </c>
      <c r="X82" s="34">
        <f>20</f>
        <v>20</v>
      </c>
    </row>
    <row r="83" spans="1:24">
      <c r="A83" s="25" t="s">
        <v>1128</v>
      </c>
      <c r="B83" s="25" t="s">
        <v>230</v>
      </c>
      <c r="C83" s="25" t="s">
        <v>231</v>
      </c>
      <c r="D83" s="25" t="s">
        <v>232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8293</f>
        <v>8293</v>
      </c>
      <c r="L83" s="32" t="s">
        <v>1110</v>
      </c>
      <c r="M83" s="31">
        <f>8685</f>
        <v>8685</v>
      </c>
      <c r="N83" s="32" t="s">
        <v>883</v>
      </c>
      <c r="O83" s="31">
        <f>8153</f>
        <v>8153</v>
      </c>
      <c r="P83" s="32" t="s">
        <v>684</v>
      </c>
      <c r="Q83" s="31">
        <f>8618</f>
        <v>8618</v>
      </c>
      <c r="R83" s="32" t="s">
        <v>883</v>
      </c>
      <c r="S83" s="33">
        <f>8416.2</f>
        <v>8416.2000000000007</v>
      </c>
      <c r="T83" s="30">
        <f>1097130</f>
        <v>1097130</v>
      </c>
      <c r="U83" s="30">
        <f>125410</f>
        <v>125410</v>
      </c>
      <c r="V83" s="30">
        <f>9213856867</f>
        <v>9213856867</v>
      </c>
      <c r="W83" s="30">
        <f>1053529437</f>
        <v>1053529437</v>
      </c>
      <c r="X83" s="34">
        <f>20</f>
        <v>20</v>
      </c>
    </row>
    <row r="84" spans="1:24">
      <c r="A84" s="25" t="s">
        <v>1128</v>
      </c>
      <c r="B84" s="25" t="s">
        <v>233</v>
      </c>
      <c r="C84" s="25" t="s">
        <v>234</v>
      </c>
      <c r="D84" s="25" t="s">
        <v>235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5163</f>
        <v>5163</v>
      </c>
      <c r="L84" s="32" t="s">
        <v>1110</v>
      </c>
      <c r="M84" s="31">
        <f>5409</f>
        <v>5409</v>
      </c>
      <c r="N84" s="32" t="s">
        <v>883</v>
      </c>
      <c r="O84" s="31">
        <f>5102</f>
        <v>5102</v>
      </c>
      <c r="P84" s="32" t="s">
        <v>684</v>
      </c>
      <c r="Q84" s="31">
        <f>5402</f>
        <v>5402</v>
      </c>
      <c r="R84" s="32" t="s">
        <v>883</v>
      </c>
      <c r="S84" s="33">
        <f>5255.2</f>
        <v>5255.2</v>
      </c>
      <c r="T84" s="30">
        <f>125040</f>
        <v>125040</v>
      </c>
      <c r="U84" s="30" t="str">
        <f>"－"</f>
        <v>－</v>
      </c>
      <c r="V84" s="30">
        <f>660679760</f>
        <v>660679760</v>
      </c>
      <c r="W84" s="30" t="str">
        <f>"－"</f>
        <v>－</v>
      </c>
      <c r="X84" s="34">
        <f>20</f>
        <v>20</v>
      </c>
    </row>
    <row r="85" spans="1:24">
      <c r="A85" s="25" t="s">
        <v>1128</v>
      </c>
      <c r="B85" s="25" t="s">
        <v>236</v>
      </c>
      <c r="C85" s="25" t="s">
        <v>854</v>
      </c>
      <c r="D85" s="25" t="s">
        <v>855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5100</f>
        <v>5100</v>
      </c>
      <c r="L85" s="32" t="s">
        <v>1110</v>
      </c>
      <c r="M85" s="31">
        <f>5248</f>
        <v>5248</v>
      </c>
      <c r="N85" s="32" t="s">
        <v>1113</v>
      </c>
      <c r="O85" s="31">
        <f>5005</f>
        <v>5005</v>
      </c>
      <c r="P85" s="32" t="s">
        <v>677</v>
      </c>
      <c r="Q85" s="31">
        <f>5219</f>
        <v>5219</v>
      </c>
      <c r="R85" s="32" t="s">
        <v>883</v>
      </c>
      <c r="S85" s="33">
        <f>5139.8</f>
        <v>5139.8</v>
      </c>
      <c r="T85" s="30">
        <f>8680</f>
        <v>8680</v>
      </c>
      <c r="U85" s="30" t="str">
        <f>"－"</f>
        <v>－</v>
      </c>
      <c r="V85" s="30">
        <f>44750590</f>
        <v>44750590</v>
      </c>
      <c r="W85" s="30" t="str">
        <f>"－"</f>
        <v>－</v>
      </c>
      <c r="X85" s="34">
        <f>20</f>
        <v>20</v>
      </c>
    </row>
    <row r="86" spans="1:24">
      <c r="A86" s="25" t="s">
        <v>1128</v>
      </c>
      <c r="B86" s="25" t="s">
        <v>241</v>
      </c>
      <c r="C86" s="25" t="s">
        <v>242</v>
      </c>
      <c r="D86" s="25" t="s">
        <v>243</v>
      </c>
      <c r="E86" s="26" t="s">
        <v>43</v>
      </c>
      <c r="F86" s="27" t="s">
        <v>43</v>
      </c>
      <c r="G86" s="28" t="s">
        <v>43</v>
      </c>
      <c r="H86" s="29"/>
      <c r="I86" s="29" t="s">
        <v>44</v>
      </c>
      <c r="J86" s="30">
        <v>10</v>
      </c>
      <c r="K86" s="31">
        <f>4244</f>
        <v>4244</v>
      </c>
      <c r="L86" s="32" t="s">
        <v>1110</v>
      </c>
      <c r="M86" s="31">
        <f>4430</f>
        <v>4430</v>
      </c>
      <c r="N86" s="32" t="s">
        <v>883</v>
      </c>
      <c r="O86" s="31">
        <f>4191</f>
        <v>4191</v>
      </c>
      <c r="P86" s="32" t="s">
        <v>684</v>
      </c>
      <c r="Q86" s="31">
        <f>4426</f>
        <v>4426</v>
      </c>
      <c r="R86" s="32" t="s">
        <v>883</v>
      </c>
      <c r="S86" s="33">
        <f>4313.7</f>
        <v>4313.7</v>
      </c>
      <c r="T86" s="30">
        <f>112320</f>
        <v>112320</v>
      </c>
      <c r="U86" s="30" t="str">
        <f>"－"</f>
        <v>－</v>
      </c>
      <c r="V86" s="30">
        <f>483538750</f>
        <v>483538750</v>
      </c>
      <c r="W86" s="30" t="str">
        <f>"－"</f>
        <v>－</v>
      </c>
      <c r="X86" s="34">
        <f>20</f>
        <v>20</v>
      </c>
    </row>
    <row r="87" spans="1:24">
      <c r="A87" s="25" t="s">
        <v>1128</v>
      </c>
      <c r="B87" s="25" t="s">
        <v>244</v>
      </c>
      <c r="C87" s="25" t="s">
        <v>971</v>
      </c>
      <c r="D87" s="25" t="s">
        <v>245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10</v>
      </c>
      <c r="K87" s="31">
        <f>2050</f>
        <v>2050</v>
      </c>
      <c r="L87" s="32" t="s">
        <v>1110</v>
      </c>
      <c r="M87" s="31">
        <f>2300</f>
        <v>2300</v>
      </c>
      <c r="N87" s="32" t="s">
        <v>883</v>
      </c>
      <c r="O87" s="31">
        <f>2050</f>
        <v>2050</v>
      </c>
      <c r="P87" s="32" t="s">
        <v>1110</v>
      </c>
      <c r="Q87" s="31">
        <f>2282</f>
        <v>2282</v>
      </c>
      <c r="R87" s="32" t="s">
        <v>883</v>
      </c>
      <c r="S87" s="33">
        <f>2157.5</f>
        <v>2157.5</v>
      </c>
      <c r="T87" s="30">
        <f>126710</f>
        <v>126710</v>
      </c>
      <c r="U87" s="30">
        <f>120</f>
        <v>120</v>
      </c>
      <c r="V87" s="30">
        <f>273202390</f>
        <v>273202390</v>
      </c>
      <c r="W87" s="30">
        <f>233630</f>
        <v>233630</v>
      </c>
      <c r="X87" s="34">
        <f>20</f>
        <v>20</v>
      </c>
    </row>
    <row r="88" spans="1:24">
      <c r="A88" s="25" t="s">
        <v>1128</v>
      </c>
      <c r="B88" s="25" t="s">
        <v>246</v>
      </c>
      <c r="C88" s="25" t="s">
        <v>247</v>
      </c>
      <c r="D88" s="25" t="s">
        <v>248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</v>
      </c>
      <c r="K88" s="31">
        <f>76260</f>
        <v>76260</v>
      </c>
      <c r="L88" s="32" t="s">
        <v>1110</v>
      </c>
      <c r="M88" s="31">
        <f>79900</f>
        <v>79900</v>
      </c>
      <c r="N88" s="32" t="s">
        <v>883</v>
      </c>
      <c r="O88" s="31">
        <f>74990</f>
        <v>74990</v>
      </c>
      <c r="P88" s="32" t="s">
        <v>684</v>
      </c>
      <c r="Q88" s="31">
        <f>79330</f>
        <v>79330</v>
      </c>
      <c r="R88" s="32" t="s">
        <v>883</v>
      </c>
      <c r="S88" s="33">
        <f>77250.5</f>
        <v>77250.5</v>
      </c>
      <c r="T88" s="30">
        <f>81369</f>
        <v>81369</v>
      </c>
      <c r="U88" s="30">
        <f>136</f>
        <v>136</v>
      </c>
      <c r="V88" s="30">
        <f>6285742306</f>
        <v>6285742306</v>
      </c>
      <c r="W88" s="30">
        <f>10369156</f>
        <v>10369156</v>
      </c>
      <c r="X88" s="34">
        <f>20</f>
        <v>20</v>
      </c>
    </row>
    <row r="89" spans="1:24">
      <c r="A89" s="25" t="s">
        <v>1128</v>
      </c>
      <c r="B89" s="25" t="s">
        <v>249</v>
      </c>
      <c r="C89" s="25" t="s">
        <v>250</v>
      </c>
      <c r="D89" s="25" t="s">
        <v>251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3240</f>
        <v>3240</v>
      </c>
      <c r="L89" s="32" t="s">
        <v>1110</v>
      </c>
      <c r="M89" s="31">
        <f>3300</f>
        <v>3300</v>
      </c>
      <c r="N89" s="32" t="s">
        <v>675</v>
      </c>
      <c r="O89" s="31">
        <f>3200</f>
        <v>3200</v>
      </c>
      <c r="P89" s="32" t="s">
        <v>684</v>
      </c>
      <c r="Q89" s="31">
        <f>3215</f>
        <v>3215</v>
      </c>
      <c r="R89" s="32" t="s">
        <v>883</v>
      </c>
      <c r="S89" s="33">
        <f>3248.5</f>
        <v>3248.5</v>
      </c>
      <c r="T89" s="30">
        <f>7749</f>
        <v>7749</v>
      </c>
      <c r="U89" s="30" t="str">
        <f>"－"</f>
        <v>－</v>
      </c>
      <c r="V89" s="30">
        <f>25181020</f>
        <v>25181020</v>
      </c>
      <c r="W89" s="30" t="str">
        <f>"－"</f>
        <v>－</v>
      </c>
      <c r="X89" s="34">
        <f>20</f>
        <v>20</v>
      </c>
    </row>
    <row r="90" spans="1:24">
      <c r="A90" s="25" t="s">
        <v>1128</v>
      </c>
      <c r="B90" s="25" t="s">
        <v>252</v>
      </c>
      <c r="C90" s="25" t="s">
        <v>253</v>
      </c>
      <c r="D90" s="25" t="s">
        <v>254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4790</f>
        <v>4790</v>
      </c>
      <c r="L90" s="32" t="s">
        <v>1110</v>
      </c>
      <c r="M90" s="31">
        <f>4790</f>
        <v>4790</v>
      </c>
      <c r="N90" s="32" t="s">
        <v>1110</v>
      </c>
      <c r="O90" s="31">
        <f>4520</f>
        <v>4520</v>
      </c>
      <c r="P90" s="32" t="s">
        <v>677</v>
      </c>
      <c r="Q90" s="31">
        <f>4680</f>
        <v>4680</v>
      </c>
      <c r="R90" s="32" t="s">
        <v>883</v>
      </c>
      <c r="S90" s="33">
        <f>4697.25</f>
        <v>4697.25</v>
      </c>
      <c r="T90" s="30">
        <f>5060</f>
        <v>5060</v>
      </c>
      <c r="U90" s="30" t="str">
        <f>"－"</f>
        <v>－</v>
      </c>
      <c r="V90" s="30">
        <f>23649590</f>
        <v>23649590</v>
      </c>
      <c r="W90" s="30" t="str">
        <f>"－"</f>
        <v>－</v>
      </c>
      <c r="X90" s="34">
        <f>20</f>
        <v>20</v>
      </c>
    </row>
    <row r="91" spans="1:24">
      <c r="A91" s="25" t="s">
        <v>1128</v>
      </c>
      <c r="B91" s="25" t="s">
        <v>255</v>
      </c>
      <c r="C91" s="25" t="s">
        <v>856</v>
      </c>
      <c r="D91" s="25" t="s">
        <v>857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2813</f>
        <v>2813</v>
      </c>
      <c r="L91" s="32" t="s">
        <v>1110</v>
      </c>
      <c r="M91" s="31">
        <f>2839</f>
        <v>2839</v>
      </c>
      <c r="N91" s="32" t="s">
        <v>675</v>
      </c>
      <c r="O91" s="31">
        <f>2513</f>
        <v>2513</v>
      </c>
      <c r="P91" s="32" t="s">
        <v>875</v>
      </c>
      <c r="Q91" s="31">
        <f>2593</f>
        <v>2593</v>
      </c>
      <c r="R91" s="32" t="s">
        <v>883</v>
      </c>
      <c r="S91" s="33">
        <f>2634.5</f>
        <v>2634.5</v>
      </c>
      <c r="T91" s="30">
        <f>1539483</f>
        <v>1539483</v>
      </c>
      <c r="U91" s="30">
        <f>267110</f>
        <v>267110</v>
      </c>
      <c r="V91" s="30">
        <f>4077798751</f>
        <v>4077798751</v>
      </c>
      <c r="W91" s="30">
        <f>700007024</f>
        <v>700007024</v>
      </c>
      <c r="X91" s="34">
        <f>20</f>
        <v>20</v>
      </c>
    </row>
    <row r="92" spans="1:24">
      <c r="A92" s="25" t="s">
        <v>1128</v>
      </c>
      <c r="B92" s="25" t="s">
        <v>256</v>
      </c>
      <c r="C92" s="25" t="s">
        <v>257</v>
      </c>
      <c r="D92" s="25" t="s">
        <v>258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</v>
      </c>
      <c r="K92" s="31">
        <f>49560</f>
        <v>49560</v>
      </c>
      <c r="L92" s="32" t="s">
        <v>1110</v>
      </c>
      <c r="M92" s="31">
        <f>49840</f>
        <v>49840</v>
      </c>
      <c r="N92" s="32" t="s">
        <v>874</v>
      </c>
      <c r="O92" s="31">
        <f>48550</f>
        <v>48550</v>
      </c>
      <c r="P92" s="32" t="s">
        <v>677</v>
      </c>
      <c r="Q92" s="31">
        <f>49680</f>
        <v>49680</v>
      </c>
      <c r="R92" s="32" t="s">
        <v>883</v>
      </c>
      <c r="S92" s="33">
        <f>49379.5</f>
        <v>49379.5</v>
      </c>
      <c r="T92" s="30">
        <f>14965</f>
        <v>14965</v>
      </c>
      <c r="U92" s="30">
        <f>603</f>
        <v>603</v>
      </c>
      <c r="V92" s="30">
        <f>740039450</f>
        <v>740039450</v>
      </c>
      <c r="W92" s="30">
        <f>29982800</f>
        <v>29982800</v>
      </c>
      <c r="X92" s="34">
        <f>20</f>
        <v>20</v>
      </c>
    </row>
    <row r="93" spans="1:24">
      <c r="A93" s="25" t="s">
        <v>1128</v>
      </c>
      <c r="B93" s="25" t="s">
        <v>259</v>
      </c>
      <c r="C93" s="25" t="s">
        <v>260</v>
      </c>
      <c r="D93" s="25" t="s">
        <v>261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10</v>
      </c>
      <c r="K93" s="31">
        <f>46500</f>
        <v>46500</v>
      </c>
      <c r="L93" s="32" t="s">
        <v>1110</v>
      </c>
      <c r="M93" s="31">
        <f>51520</f>
        <v>51520</v>
      </c>
      <c r="N93" s="32" t="s">
        <v>874</v>
      </c>
      <c r="O93" s="31">
        <f>44340</f>
        <v>44340</v>
      </c>
      <c r="P93" s="32" t="s">
        <v>677</v>
      </c>
      <c r="Q93" s="31">
        <f>50630</f>
        <v>50630</v>
      </c>
      <c r="R93" s="32" t="s">
        <v>883</v>
      </c>
      <c r="S93" s="33">
        <f>48339</f>
        <v>48339</v>
      </c>
      <c r="T93" s="30">
        <f>2731400</f>
        <v>2731400</v>
      </c>
      <c r="U93" s="30">
        <f>140</f>
        <v>140</v>
      </c>
      <c r="V93" s="30">
        <f>131862559400</f>
        <v>131862559400</v>
      </c>
      <c r="W93" s="30">
        <f>6035300</f>
        <v>6035300</v>
      </c>
      <c r="X93" s="34">
        <f>20</f>
        <v>20</v>
      </c>
    </row>
    <row r="94" spans="1:24">
      <c r="A94" s="25" t="s">
        <v>1128</v>
      </c>
      <c r="B94" s="25" t="s">
        <v>262</v>
      </c>
      <c r="C94" s="25" t="s">
        <v>263</v>
      </c>
      <c r="D94" s="25" t="s">
        <v>264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1378</f>
        <v>1378</v>
      </c>
      <c r="L94" s="32" t="s">
        <v>1110</v>
      </c>
      <c r="M94" s="31">
        <f>1406</f>
        <v>1406</v>
      </c>
      <c r="N94" s="32" t="s">
        <v>677</v>
      </c>
      <c r="O94" s="31">
        <f>1302.5</f>
        <v>1302.5</v>
      </c>
      <c r="P94" s="32" t="s">
        <v>874</v>
      </c>
      <c r="Q94" s="31">
        <f>1312.5</f>
        <v>1312.5</v>
      </c>
      <c r="R94" s="32" t="s">
        <v>883</v>
      </c>
      <c r="S94" s="33">
        <f>1347.3</f>
        <v>1347.3</v>
      </c>
      <c r="T94" s="30">
        <f>6244720</f>
        <v>6244720</v>
      </c>
      <c r="U94" s="30">
        <f>5220030</f>
        <v>5220030</v>
      </c>
      <c r="V94" s="30">
        <f>8565869020</f>
        <v>8565869020</v>
      </c>
      <c r="W94" s="30">
        <f>7186570395</f>
        <v>7186570395</v>
      </c>
      <c r="X94" s="34">
        <f>20</f>
        <v>20</v>
      </c>
    </row>
    <row r="95" spans="1:24">
      <c r="A95" s="25" t="s">
        <v>1128</v>
      </c>
      <c r="B95" s="25" t="s">
        <v>265</v>
      </c>
      <c r="C95" s="25" t="s">
        <v>266</v>
      </c>
      <c r="D95" s="25" t="s">
        <v>267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</v>
      </c>
      <c r="K95" s="31">
        <f>29005</f>
        <v>29005</v>
      </c>
      <c r="L95" s="32" t="s">
        <v>1110</v>
      </c>
      <c r="M95" s="31">
        <f>31600</f>
        <v>31600</v>
      </c>
      <c r="N95" s="32" t="s">
        <v>874</v>
      </c>
      <c r="O95" s="31">
        <f>27450</f>
        <v>27450</v>
      </c>
      <c r="P95" s="32" t="s">
        <v>677</v>
      </c>
      <c r="Q95" s="31">
        <f>30990</f>
        <v>30990</v>
      </c>
      <c r="R95" s="32" t="s">
        <v>883</v>
      </c>
      <c r="S95" s="33">
        <f>29785</f>
        <v>29785</v>
      </c>
      <c r="T95" s="30">
        <f>106995110</f>
        <v>106995110</v>
      </c>
      <c r="U95" s="30">
        <f>636548</f>
        <v>636548</v>
      </c>
      <c r="V95" s="30">
        <f>3171367828186</f>
        <v>3171367828186</v>
      </c>
      <c r="W95" s="30">
        <f>18302683871</f>
        <v>18302683871</v>
      </c>
      <c r="X95" s="34">
        <f>20</f>
        <v>20</v>
      </c>
    </row>
    <row r="96" spans="1:24">
      <c r="A96" s="25" t="s">
        <v>1128</v>
      </c>
      <c r="B96" s="25" t="s">
        <v>268</v>
      </c>
      <c r="C96" s="25" t="s">
        <v>269</v>
      </c>
      <c r="D96" s="25" t="s">
        <v>270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627</f>
        <v>627</v>
      </c>
      <c r="L96" s="32" t="s">
        <v>1110</v>
      </c>
      <c r="M96" s="31">
        <f>643</f>
        <v>643</v>
      </c>
      <c r="N96" s="32" t="s">
        <v>677</v>
      </c>
      <c r="O96" s="31">
        <f>597</f>
        <v>597</v>
      </c>
      <c r="P96" s="32" t="s">
        <v>874</v>
      </c>
      <c r="Q96" s="31">
        <f>604</f>
        <v>604</v>
      </c>
      <c r="R96" s="32" t="s">
        <v>883</v>
      </c>
      <c r="S96" s="33">
        <f>617.15</f>
        <v>617.15</v>
      </c>
      <c r="T96" s="30">
        <f>88665151</f>
        <v>88665151</v>
      </c>
      <c r="U96" s="30">
        <f>11485245</f>
        <v>11485245</v>
      </c>
      <c r="V96" s="30">
        <f>54744763201</f>
        <v>54744763201</v>
      </c>
      <c r="W96" s="30">
        <f>7093490891</f>
        <v>7093490891</v>
      </c>
      <c r="X96" s="34">
        <f>20</f>
        <v>20</v>
      </c>
    </row>
    <row r="97" spans="1:24">
      <c r="A97" s="25" t="s">
        <v>1128</v>
      </c>
      <c r="B97" s="25" t="s">
        <v>271</v>
      </c>
      <c r="C97" s="25" t="s">
        <v>272</v>
      </c>
      <c r="D97" s="25" t="s">
        <v>273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10</v>
      </c>
      <c r="K97" s="31">
        <f>3361</f>
        <v>3361</v>
      </c>
      <c r="L97" s="32" t="s">
        <v>1110</v>
      </c>
      <c r="M97" s="31">
        <f>3720</f>
        <v>3720</v>
      </c>
      <c r="N97" s="32" t="s">
        <v>1112</v>
      </c>
      <c r="O97" s="31">
        <f>3200</f>
        <v>3200</v>
      </c>
      <c r="P97" s="32" t="s">
        <v>674</v>
      </c>
      <c r="Q97" s="31">
        <f>3584</f>
        <v>3584</v>
      </c>
      <c r="R97" s="32" t="s">
        <v>883</v>
      </c>
      <c r="S97" s="33">
        <f>3510.25</f>
        <v>3510.25</v>
      </c>
      <c r="T97" s="30">
        <f>627970</f>
        <v>627970</v>
      </c>
      <c r="U97" s="30">
        <f>20</f>
        <v>20</v>
      </c>
      <c r="V97" s="30">
        <f>2206080650</f>
        <v>2206080650</v>
      </c>
      <c r="W97" s="30">
        <f>69700</f>
        <v>69700</v>
      </c>
      <c r="X97" s="34">
        <f>20</f>
        <v>20</v>
      </c>
    </row>
    <row r="98" spans="1:24">
      <c r="A98" s="25" t="s">
        <v>1128</v>
      </c>
      <c r="B98" s="25" t="s">
        <v>274</v>
      </c>
      <c r="C98" s="25" t="s">
        <v>275</v>
      </c>
      <c r="D98" s="25" t="s">
        <v>276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13345</f>
        <v>13345</v>
      </c>
      <c r="L98" s="32" t="s">
        <v>1110</v>
      </c>
      <c r="M98" s="31">
        <f>13665</f>
        <v>13665</v>
      </c>
      <c r="N98" s="32" t="s">
        <v>674</v>
      </c>
      <c r="O98" s="31">
        <f>12310</f>
        <v>12310</v>
      </c>
      <c r="P98" s="32" t="s">
        <v>1123</v>
      </c>
      <c r="Q98" s="31">
        <f>12960</f>
        <v>12960</v>
      </c>
      <c r="R98" s="32" t="s">
        <v>883</v>
      </c>
      <c r="S98" s="33">
        <f>12978.25</f>
        <v>12978.25</v>
      </c>
      <c r="T98" s="30">
        <f>54470</f>
        <v>54470</v>
      </c>
      <c r="U98" s="30">
        <f>200</f>
        <v>200</v>
      </c>
      <c r="V98" s="30">
        <f>711153200</f>
        <v>711153200</v>
      </c>
      <c r="W98" s="30">
        <f>2624000</f>
        <v>2624000</v>
      </c>
      <c r="X98" s="34">
        <f>20</f>
        <v>20</v>
      </c>
    </row>
    <row r="99" spans="1:24">
      <c r="A99" s="25" t="s">
        <v>1128</v>
      </c>
      <c r="B99" s="25" t="s">
        <v>277</v>
      </c>
      <c r="C99" s="25" t="s">
        <v>278</v>
      </c>
      <c r="D99" s="25" t="s">
        <v>972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</v>
      </c>
      <c r="K99" s="31">
        <f>35750</f>
        <v>35750</v>
      </c>
      <c r="L99" s="32" t="s">
        <v>1110</v>
      </c>
      <c r="M99" s="31">
        <f>38230</f>
        <v>38230</v>
      </c>
      <c r="N99" s="32" t="s">
        <v>1111</v>
      </c>
      <c r="O99" s="31">
        <f>34990</f>
        <v>34990</v>
      </c>
      <c r="P99" s="32" t="s">
        <v>677</v>
      </c>
      <c r="Q99" s="31">
        <f>38170</f>
        <v>38170</v>
      </c>
      <c r="R99" s="32" t="s">
        <v>883</v>
      </c>
      <c r="S99" s="33">
        <f>36738</f>
        <v>36738</v>
      </c>
      <c r="T99" s="30">
        <f>187748</f>
        <v>187748</v>
      </c>
      <c r="U99" s="30">
        <f>112124</f>
        <v>112124</v>
      </c>
      <c r="V99" s="30">
        <f>6849908063</f>
        <v>6849908063</v>
      </c>
      <c r="W99" s="30">
        <f>4083782083</f>
        <v>4083782083</v>
      </c>
      <c r="X99" s="34">
        <f>20</f>
        <v>20</v>
      </c>
    </row>
    <row r="100" spans="1:24">
      <c r="A100" s="25" t="s">
        <v>1128</v>
      </c>
      <c r="B100" s="25" t="s">
        <v>279</v>
      </c>
      <c r="C100" s="25" t="s">
        <v>280</v>
      </c>
      <c r="D100" s="25" t="s">
        <v>281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3130</f>
        <v>3130</v>
      </c>
      <c r="L100" s="32" t="s">
        <v>1110</v>
      </c>
      <c r="M100" s="31">
        <f>3275</f>
        <v>3275</v>
      </c>
      <c r="N100" s="32" t="s">
        <v>874</v>
      </c>
      <c r="O100" s="31">
        <f>3050</f>
        <v>3050</v>
      </c>
      <c r="P100" s="32" t="s">
        <v>677</v>
      </c>
      <c r="Q100" s="31">
        <f>3245</f>
        <v>3245</v>
      </c>
      <c r="R100" s="32" t="s">
        <v>883</v>
      </c>
      <c r="S100" s="33">
        <f>3179.75</f>
        <v>3179.75</v>
      </c>
      <c r="T100" s="30">
        <f>114924</f>
        <v>114924</v>
      </c>
      <c r="U100" s="30">
        <f>1</f>
        <v>1</v>
      </c>
      <c r="V100" s="30">
        <f>365882490</f>
        <v>365882490</v>
      </c>
      <c r="W100" s="30">
        <f>3195</f>
        <v>3195</v>
      </c>
      <c r="X100" s="34">
        <f>20</f>
        <v>20</v>
      </c>
    </row>
    <row r="101" spans="1:24">
      <c r="A101" s="25" t="s">
        <v>1128</v>
      </c>
      <c r="B101" s="25" t="s">
        <v>282</v>
      </c>
      <c r="C101" s="25" t="s">
        <v>283</v>
      </c>
      <c r="D101" s="25" t="s">
        <v>284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10</v>
      </c>
      <c r="K101" s="31">
        <f>31030</f>
        <v>31030</v>
      </c>
      <c r="L101" s="32" t="s">
        <v>1110</v>
      </c>
      <c r="M101" s="31">
        <f>33770</f>
        <v>33770</v>
      </c>
      <c r="N101" s="32" t="s">
        <v>874</v>
      </c>
      <c r="O101" s="31">
        <f>29330</f>
        <v>29330</v>
      </c>
      <c r="P101" s="32" t="s">
        <v>677</v>
      </c>
      <c r="Q101" s="31">
        <f>33110</f>
        <v>33110</v>
      </c>
      <c r="R101" s="32" t="s">
        <v>883</v>
      </c>
      <c r="S101" s="33">
        <f>31830.75</f>
        <v>31830.75</v>
      </c>
      <c r="T101" s="30">
        <f>8564540</f>
        <v>8564540</v>
      </c>
      <c r="U101" s="30">
        <f>2590</f>
        <v>2590</v>
      </c>
      <c r="V101" s="30">
        <f>271595369450</f>
        <v>271595369450</v>
      </c>
      <c r="W101" s="30">
        <f>82947000</f>
        <v>82947000</v>
      </c>
      <c r="X101" s="34">
        <f>20</f>
        <v>20</v>
      </c>
    </row>
    <row r="102" spans="1:24">
      <c r="A102" s="25" t="s">
        <v>1128</v>
      </c>
      <c r="B102" s="25" t="s">
        <v>285</v>
      </c>
      <c r="C102" s="25" t="s">
        <v>286</v>
      </c>
      <c r="D102" s="25" t="s">
        <v>287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1662.5</f>
        <v>1662.5</v>
      </c>
      <c r="L102" s="32" t="s">
        <v>1110</v>
      </c>
      <c r="M102" s="31">
        <f>1705.5</f>
        <v>1705.5</v>
      </c>
      <c r="N102" s="32" t="s">
        <v>677</v>
      </c>
      <c r="O102" s="31">
        <f>1585</f>
        <v>1585</v>
      </c>
      <c r="P102" s="32" t="s">
        <v>874</v>
      </c>
      <c r="Q102" s="31">
        <f>1599.5</f>
        <v>1599.5</v>
      </c>
      <c r="R102" s="32" t="s">
        <v>883</v>
      </c>
      <c r="S102" s="33">
        <f>1637.4</f>
        <v>1637.4</v>
      </c>
      <c r="T102" s="30">
        <f>6341340</f>
        <v>6341340</v>
      </c>
      <c r="U102" s="30">
        <f>2387120</f>
        <v>2387120</v>
      </c>
      <c r="V102" s="30">
        <f>10537972844</f>
        <v>10537972844</v>
      </c>
      <c r="W102" s="30">
        <f>4013759859</f>
        <v>4013759859</v>
      </c>
      <c r="X102" s="34">
        <f>20</f>
        <v>20</v>
      </c>
    </row>
    <row r="103" spans="1:24">
      <c r="A103" s="25" t="s">
        <v>1128</v>
      </c>
      <c r="B103" s="25" t="s">
        <v>288</v>
      </c>
      <c r="C103" s="25" t="s">
        <v>922</v>
      </c>
      <c r="D103" s="25" t="s">
        <v>923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1866</f>
        <v>1866</v>
      </c>
      <c r="L103" s="32" t="s">
        <v>1110</v>
      </c>
      <c r="M103" s="31">
        <f>1958</f>
        <v>1958</v>
      </c>
      <c r="N103" s="32" t="s">
        <v>874</v>
      </c>
      <c r="O103" s="31">
        <f>1815</f>
        <v>1815</v>
      </c>
      <c r="P103" s="32" t="s">
        <v>677</v>
      </c>
      <c r="Q103" s="31">
        <f>1933.5</f>
        <v>1933.5</v>
      </c>
      <c r="R103" s="32" t="s">
        <v>883</v>
      </c>
      <c r="S103" s="33">
        <f>1892.98</f>
        <v>1892.98</v>
      </c>
      <c r="T103" s="30">
        <f>21110</f>
        <v>21110</v>
      </c>
      <c r="U103" s="30">
        <f>40</f>
        <v>40</v>
      </c>
      <c r="V103" s="30">
        <f>40031800</f>
        <v>40031800</v>
      </c>
      <c r="W103" s="30">
        <f>76120</f>
        <v>76120</v>
      </c>
      <c r="X103" s="34">
        <f>20</f>
        <v>20</v>
      </c>
    </row>
    <row r="104" spans="1:24">
      <c r="A104" s="25" t="s">
        <v>1128</v>
      </c>
      <c r="B104" s="25" t="s">
        <v>289</v>
      </c>
      <c r="C104" s="25" t="s">
        <v>290</v>
      </c>
      <c r="D104" s="25" t="s">
        <v>291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</v>
      </c>
      <c r="K104" s="31">
        <f>2180</f>
        <v>2180</v>
      </c>
      <c r="L104" s="32" t="s">
        <v>1110</v>
      </c>
      <c r="M104" s="31">
        <f>2290</f>
        <v>2290</v>
      </c>
      <c r="N104" s="32" t="s">
        <v>679</v>
      </c>
      <c r="O104" s="31">
        <f>2120</f>
        <v>2120</v>
      </c>
      <c r="P104" s="32" t="s">
        <v>1123</v>
      </c>
      <c r="Q104" s="31">
        <f>2264</f>
        <v>2264</v>
      </c>
      <c r="R104" s="32" t="s">
        <v>883</v>
      </c>
      <c r="S104" s="33">
        <f>2214.4</f>
        <v>2214.4</v>
      </c>
      <c r="T104" s="30">
        <f>4479</f>
        <v>4479</v>
      </c>
      <c r="U104" s="30">
        <f>4</f>
        <v>4</v>
      </c>
      <c r="V104" s="30">
        <f>9831717</f>
        <v>9831717</v>
      </c>
      <c r="W104" s="30">
        <f>9082</f>
        <v>9082</v>
      </c>
      <c r="X104" s="34">
        <f>20</f>
        <v>20</v>
      </c>
    </row>
    <row r="105" spans="1:24">
      <c r="A105" s="25" t="s">
        <v>1128</v>
      </c>
      <c r="B105" s="25" t="s">
        <v>292</v>
      </c>
      <c r="C105" s="25" t="s">
        <v>293</v>
      </c>
      <c r="D105" s="25" t="s">
        <v>294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24300</f>
        <v>24300</v>
      </c>
      <c r="L105" s="32" t="s">
        <v>1110</v>
      </c>
      <c r="M105" s="31">
        <f>25615</f>
        <v>25615</v>
      </c>
      <c r="N105" s="32" t="s">
        <v>874</v>
      </c>
      <c r="O105" s="31">
        <f>23790</f>
        <v>23790</v>
      </c>
      <c r="P105" s="32" t="s">
        <v>677</v>
      </c>
      <c r="Q105" s="31">
        <f>25485</f>
        <v>25485</v>
      </c>
      <c r="R105" s="32" t="s">
        <v>883</v>
      </c>
      <c r="S105" s="33">
        <f>24812.75</f>
        <v>24812.75</v>
      </c>
      <c r="T105" s="30">
        <f>143897</f>
        <v>143897</v>
      </c>
      <c r="U105" s="30">
        <f>83530</f>
        <v>83530</v>
      </c>
      <c r="V105" s="30">
        <f>3576272768</f>
        <v>3576272768</v>
      </c>
      <c r="W105" s="30">
        <f>2098694558</f>
        <v>2098694558</v>
      </c>
      <c r="X105" s="34">
        <f>20</f>
        <v>20</v>
      </c>
    </row>
    <row r="106" spans="1:24">
      <c r="A106" s="25" t="s">
        <v>1128</v>
      </c>
      <c r="B106" s="25" t="s">
        <v>295</v>
      </c>
      <c r="C106" s="25" t="s">
        <v>296</v>
      </c>
      <c r="D106" s="25" t="s">
        <v>297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2235</f>
        <v>2235</v>
      </c>
      <c r="L106" s="32" t="s">
        <v>1110</v>
      </c>
      <c r="M106" s="31">
        <f>2340</f>
        <v>2340</v>
      </c>
      <c r="N106" s="32" t="s">
        <v>874</v>
      </c>
      <c r="O106" s="31">
        <f>2173</f>
        <v>2173</v>
      </c>
      <c r="P106" s="32" t="s">
        <v>677</v>
      </c>
      <c r="Q106" s="31">
        <f>2322</f>
        <v>2322</v>
      </c>
      <c r="R106" s="32" t="s">
        <v>883</v>
      </c>
      <c r="S106" s="33">
        <f>2265.6</f>
        <v>2265.6</v>
      </c>
      <c r="T106" s="30">
        <f>113215</f>
        <v>113215</v>
      </c>
      <c r="U106" s="30">
        <f>25000</f>
        <v>25000</v>
      </c>
      <c r="V106" s="30">
        <f>253810075</f>
        <v>253810075</v>
      </c>
      <c r="W106" s="30">
        <f>55225000</f>
        <v>55225000</v>
      </c>
      <c r="X106" s="34">
        <f>20</f>
        <v>20</v>
      </c>
    </row>
    <row r="107" spans="1:24">
      <c r="A107" s="25" t="s">
        <v>1128</v>
      </c>
      <c r="B107" s="25" t="s">
        <v>298</v>
      </c>
      <c r="C107" s="25" t="s">
        <v>299</v>
      </c>
      <c r="D107" s="25" t="s">
        <v>300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24805</f>
        <v>24805</v>
      </c>
      <c r="L107" s="32" t="s">
        <v>1110</v>
      </c>
      <c r="M107" s="31">
        <f>26115</f>
        <v>26115</v>
      </c>
      <c r="N107" s="32" t="s">
        <v>874</v>
      </c>
      <c r="O107" s="31">
        <f>24280</f>
        <v>24280</v>
      </c>
      <c r="P107" s="32" t="s">
        <v>677</v>
      </c>
      <c r="Q107" s="31">
        <f>26020</f>
        <v>26020</v>
      </c>
      <c r="R107" s="32" t="s">
        <v>883</v>
      </c>
      <c r="S107" s="33">
        <f>25324.75</f>
        <v>25324.75</v>
      </c>
      <c r="T107" s="30">
        <f>76682</f>
        <v>76682</v>
      </c>
      <c r="U107" s="30">
        <f>33800</f>
        <v>33800</v>
      </c>
      <c r="V107" s="30">
        <f>1912783685</f>
        <v>1912783685</v>
      </c>
      <c r="W107" s="30">
        <f>853667980</f>
        <v>853667980</v>
      </c>
      <c r="X107" s="34">
        <f>20</f>
        <v>20</v>
      </c>
    </row>
    <row r="108" spans="1:24">
      <c r="A108" s="25" t="s">
        <v>1128</v>
      </c>
      <c r="B108" s="25" t="s">
        <v>301</v>
      </c>
      <c r="C108" s="25" t="s">
        <v>302</v>
      </c>
      <c r="D108" s="25" t="s">
        <v>303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10</v>
      </c>
      <c r="K108" s="31">
        <f>1746</f>
        <v>1746</v>
      </c>
      <c r="L108" s="32" t="s">
        <v>1110</v>
      </c>
      <c r="M108" s="31">
        <f>1880</f>
        <v>1880</v>
      </c>
      <c r="N108" s="32" t="s">
        <v>1114</v>
      </c>
      <c r="O108" s="31">
        <f>1704</f>
        <v>1704</v>
      </c>
      <c r="P108" s="32" t="s">
        <v>1123</v>
      </c>
      <c r="Q108" s="31">
        <f>1849</f>
        <v>1849</v>
      </c>
      <c r="R108" s="32" t="s">
        <v>883</v>
      </c>
      <c r="S108" s="33">
        <f>1786.43</f>
        <v>1786.43</v>
      </c>
      <c r="T108" s="30">
        <f>7378870</f>
        <v>7378870</v>
      </c>
      <c r="U108" s="30">
        <f>829370</f>
        <v>829370</v>
      </c>
      <c r="V108" s="30">
        <f>13492248150</f>
        <v>13492248150</v>
      </c>
      <c r="W108" s="30">
        <f>1524876470</f>
        <v>1524876470</v>
      </c>
      <c r="X108" s="34">
        <f>20</f>
        <v>20</v>
      </c>
    </row>
    <row r="109" spans="1:24">
      <c r="A109" s="25" t="s">
        <v>1128</v>
      </c>
      <c r="B109" s="25" t="s">
        <v>304</v>
      </c>
      <c r="C109" s="25" t="s">
        <v>305</v>
      </c>
      <c r="D109" s="25" t="s">
        <v>306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2215</f>
        <v>2215</v>
      </c>
      <c r="L109" s="32" t="s">
        <v>1110</v>
      </c>
      <c r="M109" s="31">
        <f>2311</f>
        <v>2311</v>
      </c>
      <c r="N109" s="32" t="s">
        <v>874</v>
      </c>
      <c r="O109" s="31">
        <f>2215</f>
        <v>2215</v>
      </c>
      <c r="P109" s="32" t="s">
        <v>1110</v>
      </c>
      <c r="Q109" s="31">
        <f>2301</f>
        <v>2301</v>
      </c>
      <c r="R109" s="32" t="s">
        <v>676</v>
      </c>
      <c r="S109" s="33">
        <f>2260.3</f>
        <v>2260.3000000000002</v>
      </c>
      <c r="T109" s="30">
        <f>80</f>
        <v>80</v>
      </c>
      <c r="U109" s="30" t="str">
        <f>"－"</f>
        <v>－</v>
      </c>
      <c r="V109" s="30">
        <f>179465</f>
        <v>179465</v>
      </c>
      <c r="W109" s="30" t="str">
        <f>"－"</f>
        <v>－</v>
      </c>
      <c r="X109" s="34">
        <f>5</f>
        <v>5</v>
      </c>
    </row>
    <row r="110" spans="1:24">
      <c r="A110" s="25" t="s">
        <v>1128</v>
      </c>
      <c r="B110" s="25" t="s">
        <v>307</v>
      </c>
      <c r="C110" s="25" t="s">
        <v>308</v>
      </c>
      <c r="D110" s="25" t="s">
        <v>309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1774</f>
        <v>1774</v>
      </c>
      <c r="L110" s="32" t="s">
        <v>1110</v>
      </c>
      <c r="M110" s="31">
        <f>1869.5</f>
        <v>1869.5</v>
      </c>
      <c r="N110" s="32" t="s">
        <v>679</v>
      </c>
      <c r="O110" s="31">
        <f>1697.5</f>
        <v>1697.5</v>
      </c>
      <c r="P110" s="32" t="s">
        <v>1123</v>
      </c>
      <c r="Q110" s="31">
        <f>1842.5</f>
        <v>1842.5</v>
      </c>
      <c r="R110" s="32" t="s">
        <v>883</v>
      </c>
      <c r="S110" s="33">
        <f>1785.75</f>
        <v>1785.75</v>
      </c>
      <c r="T110" s="30">
        <f>5181250</f>
        <v>5181250</v>
      </c>
      <c r="U110" s="30">
        <f>2551570</f>
        <v>2551570</v>
      </c>
      <c r="V110" s="30">
        <f>9198777871</f>
        <v>9198777871</v>
      </c>
      <c r="W110" s="30">
        <f>4547462006</f>
        <v>4547462006</v>
      </c>
      <c r="X110" s="34">
        <f>20</f>
        <v>20</v>
      </c>
    </row>
    <row r="111" spans="1:24">
      <c r="A111" s="25" t="s">
        <v>1128</v>
      </c>
      <c r="B111" s="25" t="s">
        <v>310</v>
      </c>
      <c r="C111" s="25" t="s">
        <v>924</v>
      </c>
      <c r="D111" s="25" t="s">
        <v>925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</v>
      </c>
      <c r="K111" s="31">
        <f>24495</f>
        <v>24495</v>
      </c>
      <c r="L111" s="32" t="s">
        <v>1110</v>
      </c>
      <c r="M111" s="31">
        <f>26000</f>
        <v>26000</v>
      </c>
      <c r="N111" s="32" t="s">
        <v>874</v>
      </c>
      <c r="O111" s="31">
        <f>24075</f>
        <v>24075</v>
      </c>
      <c r="P111" s="32" t="s">
        <v>677</v>
      </c>
      <c r="Q111" s="31">
        <f>25755</f>
        <v>25755</v>
      </c>
      <c r="R111" s="32" t="s">
        <v>883</v>
      </c>
      <c r="S111" s="33">
        <f>25158.75</f>
        <v>25158.75</v>
      </c>
      <c r="T111" s="30">
        <f>11019</f>
        <v>11019</v>
      </c>
      <c r="U111" s="30" t="str">
        <f>"－"</f>
        <v>－</v>
      </c>
      <c r="V111" s="30">
        <f>273325240</f>
        <v>273325240</v>
      </c>
      <c r="W111" s="30" t="str">
        <f>"－"</f>
        <v>－</v>
      </c>
      <c r="X111" s="34">
        <f>20</f>
        <v>20</v>
      </c>
    </row>
    <row r="112" spans="1:24">
      <c r="A112" s="25" t="s">
        <v>1128</v>
      </c>
      <c r="B112" s="25" t="s">
        <v>1143</v>
      </c>
      <c r="C112" s="25" t="s">
        <v>1142</v>
      </c>
      <c r="D112" s="25" t="s">
        <v>1141</v>
      </c>
      <c r="E112" s="26" t="s">
        <v>672</v>
      </c>
      <c r="F112" s="27" t="s">
        <v>673</v>
      </c>
      <c r="G112" s="28" t="s">
        <v>1140</v>
      </c>
      <c r="H112" s="29"/>
      <c r="I112" s="29" t="s">
        <v>44</v>
      </c>
      <c r="J112" s="30">
        <v>10</v>
      </c>
      <c r="K112" s="31">
        <f>508.9</f>
        <v>508.9</v>
      </c>
      <c r="L112" s="32" t="s">
        <v>678</v>
      </c>
      <c r="M112" s="31">
        <f>536.1</f>
        <v>536.1</v>
      </c>
      <c r="N112" s="32" t="s">
        <v>1112</v>
      </c>
      <c r="O112" s="31">
        <f>507</f>
        <v>507</v>
      </c>
      <c r="P112" s="32" t="s">
        <v>678</v>
      </c>
      <c r="Q112" s="31">
        <f>522</f>
        <v>522</v>
      </c>
      <c r="R112" s="32" t="s">
        <v>883</v>
      </c>
      <c r="S112" s="33">
        <f>521.34</f>
        <v>521.34</v>
      </c>
      <c r="T112" s="30">
        <f>1703740</f>
        <v>1703740</v>
      </c>
      <c r="U112" s="30">
        <f>187000</f>
        <v>187000</v>
      </c>
      <c r="V112" s="30">
        <f>885670313</f>
        <v>885670313</v>
      </c>
      <c r="W112" s="30">
        <f>95744000</f>
        <v>95744000</v>
      </c>
      <c r="X112" s="34">
        <f>9</f>
        <v>9</v>
      </c>
    </row>
    <row r="113" spans="1:24">
      <c r="A113" s="25" t="s">
        <v>1128</v>
      </c>
      <c r="B113" s="25" t="s">
        <v>311</v>
      </c>
      <c r="C113" s="25" t="s">
        <v>312</v>
      </c>
      <c r="D113" s="25" t="s">
        <v>313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100</v>
      </c>
      <c r="K113" s="31">
        <f>312.1</f>
        <v>312.10000000000002</v>
      </c>
      <c r="L113" s="32" t="s">
        <v>1110</v>
      </c>
      <c r="M113" s="31">
        <f>340</f>
        <v>340</v>
      </c>
      <c r="N113" s="32" t="s">
        <v>1113</v>
      </c>
      <c r="O113" s="31">
        <f>311.6</f>
        <v>311.60000000000002</v>
      </c>
      <c r="P113" s="32" t="s">
        <v>1110</v>
      </c>
      <c r="Q113" s="31">
        <f>332.8</f>
        <v>332.8</v>
      </c>
      <c r="R113" s="32" t="s">
        <v>883</v>
      </c>
      <c r="S113" s="33">
        <f>325.42</f>
        <v>325.42</v>
      </c>
      <c r="T113" s="30">
        <f>186020500</f>
        <v>186020500</v>
      </c>
      <c r="U113" s="30">
        <f>20953800</f>
        <v>20953800</v>
      </c>
      <c r="V113" s="30">
        <f>60488126276</f>
        <v>60488126276</v>
      </c>
      <c r="W113" s="30">
        <f>6863742916</f>
        <v>6863742916</v>
      </c>
      <c r="X113" s="34">
        <f>20</f>
        <v>20</v>
      </c>
    </row>
    <row r="114" spans="1:24">
      <c r="A114" s="25" t="s">
        <v>1128</v>
      </c>
      <c r="B114" s="25" t="s">
        <v>314</v>
      </c>
      <c r="C114" s="25" t="s">
        <v>315</v>
      </c>
      <c r="D114" s="25" t="s">
        <v>316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37440</f>
        <v>37440</v>
      </c>
      <c r="L114" s="32" t="s">
        <v>1110</v>
      </c>
      <c r="M114" s="31">
        <f>39550</f>
        <v>39550</v>
      </c>
      <c r="N114" s="32" t="s">
        <v>1114</v>
      </c>
      <c r="O114" s="31">
        <f>36200</f>
        <v>36200</v>
      </c>
      <c r="P114" s="32" t="s">
        <v>677</v>
      </c>
      <c r="Q114" s="31">
        <f>38080</f>
        <v>38080</v>
      </c>
      <c r="R114" s="32" t="s">
        <v>883</v>
      </c>
      <c r="S114" s="33">
        <f>37244.5</f>
        <v>37244.5</v>
      </c>
      <c r="T114" s="30">
        <f>8391</f>
        <v>8391</v>
      </c>
      <c r="U114" s="30">
        <f>3000</f>
        <v>3000</v>
      </c>
      <c r="V114" s="30">
        <f>311305290</f>
        <v>311305290</v>
      </c>
      <c r="W114" s="30">
        <f>111288900</f>
        <v>111288900</v>
      </c>
      <c r="X114" s="34">
        <f>20</f>
        <v>20</v>
      </c>
    </row>
    <row r="115" spans="1:24">
      <c r="A115" s="25" t="s">
        <v>1128</v>
      </c>
      <c r="B115" s="25" t="s">
        <v>317</v>
      </c>
      <c r="C115" s="25" t="s">
        <v>318</v>
      </c>
      <c r="D115" s="25" t="s">
        <v>319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19620</f>
        <v>19620</v>
      </c>
      <c r="L115" s="32" t="s">
        <v>1110</v>
      </c>
      <c r="M115" s="31">
        <f>22385</f>
        <v>22385</v>
      </c>
      <c r="N115" s="32" t="s">
        <v>883</v>
      </c>
      <c r="O115" s="31">
        <f>19620</f>
        <v>19620</v>
      </c>
      <c r="P115" s="32" t="s">
        <v>1110</v>
      </c>
      <c r="Q115" s="31">
        <f>22280</f>
        <v>22280</v>
      </c>
      <c r="R115" s="32" t="s">
        <v>883</v>
      </c>
      <c r="S115" s="33">
        <f>21008.25</f>
        <v>21008.25</v>
      </c>
      <c r="T115" s="30">
        <f>15547</f>
        <v>15547</v>
      </c>
      <c r="U115" s="30" t="str">
        <f>"－"</f>
        <v>－</v>
      </c>
      <c r="V115" s="30">
        <f>325826705</f>
        <v>325826705</v>
      </c>
      <c r="W115" s="30" t="str">
        <f>"－"</f>
        <v>－</v>
      </c>
      <c r="X115" s="34">
        <f>20</f>
        <v>20</v>
      </c>
    </row>
    <row r="116" spans="1:24">
      <c r="A116" s="25" t="s">
        <v>1128</v>
      </c>
      <c r="B116" s="25" t="s">
        <v>320</v>
      </c>
      <c r="C116" s="25" t="s">
        <v>321</v>
      </c>
      <c r="D116" s="25" t="s">
        <v>322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28870</f>
        <v>28870</v>
      </c>
      <c r="L116" s="32" t="s">
        <v>1110</v>
      </c>
      <c r="M116" s="31">
        <f>31380</f>
        <v>31380</v>
      </c>
      <c r="N116" s="32" t="s">
        <v>1114</v>
      </c>
      <c r="O116" s="31">
        <f>28870</f>
        <v>28870</v>
      </c>
      <c r="P116" s="32" t="s">
        <v>1110</v>
      </c>
      <c r="Q116" s="31">
        <f>31200</f>
        <v>31200</v>
      </c>
      <c r="R116" s="32" t="s">
        <v>883</v>
      </c>
      <c r="S116" s="33">
        <f>30102.75</f>
        <v>30102.75</v>
      </c>
      <c r="T116" s="30">
        <f>5827</f>
        <v>5827</v>
      </c>
      <c r="U116" s="30">
        <f>1</f>
        <v>1</v>
      </c>
      <c r="V116" s="30">
        <f>174424620</f>
        <v>174424620</v>
      </c>
      <c r="W116" s="30">
        <f>31200</f>
        <v>31200</v>
      </c>
      <c r="X116" s="34">
        <f>20</f>
        <v>20</v>
      </c>
    </row>
    <row r="117" spans="1:24">
      <c r="A117" s="25" t="s">
        <v>1128</v>
      </c>
      <c r="B117" s="25" t="s">
        <v>323</v>
      </c>
      <c r="C117" s="25" t="s">
        <v>324</v>
      </c>
      <c r="D117" s="25" t="s">
        <v>325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30500</f>
        <v>30500</v>
      </c>
      <c r="L117" s="32" t="s">
        <v>1110</v>
      </c>
      <c r="M117" s="31">
        <f>32110</f>
        <v>32110</v>
      </c>
      <c r="N117" s="32" t="s">
        <v>874</v>
      </c>
      <c r="O117" s="31">
        <f>29900</f>
        <v>29900</v>
      </c>
      <c r="P117" s="32" t="s">
        <v>677</v>
      </c>
      <c r="Q117" s="31">
        <f>31560</f>
        <v>31560</v>
      </c>
      <c r="R117" s="32" t="s">
        <v>883</v>
      </c>
      <c r="S117" s="33">
        <f>31148</f>
        <v>31148</v>
      </c>
      <c r="T117" s="30">
        <f>3499</f>
        <v>3499</v>
      </c>
      <c r="U117" s="30" t="str">
        <f>"－"</f>
        <v>－</v>
      </c>
      <c r="V117" s="30">
        <f>108740525</f>
        <v>108740525</v>
      </c>
      <c r="W117" s="30" t="str">
        <f>"－"</f>
        <v>－</v>
      </c>
      <c r="X117" s="34">
        <f>20</f>
        <v>20</v>
      </c>
    </row>
    <row r="118" spans="1:24">
      <c r="A118" s="25" t="s">
        <v>1128</v>
      </c>
      <c r="B118" s="25" t="s">
        <v>326</v>
      </c>
      <c r="C118" s="25" t="s">
        <v>327</v>
      </c>
      <c r="D118" s="25" t="s">
        <v>328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28470</f>
        <v>28470</v>
      </c>
      <c r="L118" s="32" t="s">
        <v>1110</v>
      </c>
      <c r="M118" s="31">
        <f>28795</f>
        <v>28795</v>
      </c>
      <c r="N118" s="32" t="s">
        <v>1114</v>
      </c>
      <c r="O118" s="31">
        <f>27565</f>
        <v>27565</v>
      </c>
      <c r="P118" s="32" t="s">
        <v>1117</v>
      </c>
      <c r="Q118" s="31">
        <f>28020</f>
        <v>28020</v>
      </c>
      <c r="R118" s="32" t="s">
        <v>883</v>
      </c>
      <c r="S118" s="33">
        <f>28219</f>
        <v>28219</v>
      </c>
      <c r="T118" s="30">
        <f>19683</f>
        <v>19683</v>
      </c>
      <c r="U118" s="30">
        <f>5200</f>
        <v>5200</v>
      </c>
      <c r="V118" s="30">
        <f>556449278</f>
        <v>556449278</v>
      </c>
      <c r="W118" s="30">
        <f>146944668</f>
        <v>146944668</v>
      </c>
      <c r="X118" s="34">
        <f>20</f>
        <v>20</v>
      </c>
    </row>
    <row r="119" spans="1:24">
      <c r="A119" s="25" t="s">
        <v>1128</v>
      </c>
      <c r="B119" s="25" t="s">
        <v>329</v>
      </c>
      <c r="C119" s="25" t="s">
        <v>330</v>
      </c>
      <c r="D119" s="25" t="s">
        <v>331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36600</f>
        <v>36600</v>
      </c>
      <c r="L119" s="32" t="s">
        <v>1110</v>
      </c>
      <c r="M119" s="31">
        <f>39650</f>
        <v>39650</v>
      </c>
      <c r="N119" s="32" t="s">
        <v>1112</v>
      </c>
      <c r="O119" s="31">
        <f>34490</f>
        <v>34490</v>
      </c>
      <c r="P119" s="32" t="s">
        <v>677</v>
      </c>
      <c r="Q119" s="31">
        <f>38810</f>
        <v>38810</v>
      </c>
      <c r="R119" s="32" t="s">
        <v>883</v>
      </c>
      <c r="S119" s="33">
        <f>37092.5</f>
        <v>37092.5</v>
      </c>
      <c r="T119" s="30">
        <f>31759</f>
        <v>31759</v>
      </c>
      <c r="U119" s="30">
        <f>11600</f>
        <v>11600</v>
      </c>
      <c r="V119" s="30">
        <f>1151383900</f>
        <v>1151383900</v>
      </c>
      <c r="W119" s="30">
        <f>407154120</f>
        <v>407154120</v>
      </c>
      <c r="X119" s="34">
        <f>20</f>
        <v>20</v>
      </c>
    </row>
    <row r="120" spans="1:24">
      <c r="A120" s="25" t="s">
        <v>1128</v>
      </c>
      <c r="B120" s="25" t="s">
        <v>332</v>
      </c>
      <c r="C120" s="25" t="s">
        <v>333</v>
      </c>
      <c r="D120" s="25" t="s">
        <v>334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25910</f>
        <v>25910</v>
      </c>
      <c r="L120" s="32" t="s">
        <v>1110</v>
      </c>
      <c r="M120" s="31">
        <f>28000</f>
        <v>28000</v>
      </c>
      <c r="N120" s="32" t="s">
        <v>679</v>
      </c>
      <c r="O120" s="31">
        <f>25180</f>
        <v>25180</v>
      </c>
      <c r="P120" s="32" t="s">
        <v>677</v>
      </c>
      <c r="Q120" s="31">
        <f>27565</f>
        <v>27565</v>
      </c>
      <c r="R120" s="32" t="s">
        <v>883</v>
      </c>
      <c r="S120" s="33">
        <f>26575.5</f>
        <v>26575.5</v>
      </c>
      <c r="T120" s="30">
        <f>7547</f>
        <v>7547</v>
      </c>
      <c r="U120" s="30" t="str">
        <f>"－"</f>
        <v>－</v>
      </c>
      <c r="V120" s="30">
        <f>199936690</f>
        <v>199936690</v>
      </c>
      <c r="W120" s="30" t="str">
        <f>"－"</f>
        <v>－</v>
      </c>
      <c r="X120" s="34">
        <f>20</f>
        <v>20</v>
      </c>
    </row>
    <row r="121" spans="1:24">
      <c r="A121" s="25" t="s">
        <v>1128</v>
      </c>
      <c r="B121" s="25" t="s">
        <v>335</v>
      </c>
      <c r="C121" s="25" t="s">
        <v>336</v>
      </c>
      <c r="D121" s="25" t="s">
        <v>337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56200</f>
        <v>56200</v>
      </c>
      <c r="L121" s="32" t="s">
        <v>1110</v>
      </c>
      <c r="M121" s="31">
        <f>59900</f>
        <v>59900</v>
      </c>
      <c r="N121" s="32" t="s">
        <v>883</v>
      </c>
      <c r="O121" s="31">
        <f>54650</f>
        <v>54650</v>
      </c>
      <c r="P121" s="32" t="s">
        <v>1117</v>
      </c>
      <c r="Q121" s="31">
        <f>59900</f>
        <v>59900</v>
      </c>
      <c r="R121" s="32" t="s">
        <v>883</v>
      </c>
      <c r="S121" s="33">
        <f>57396.5</f>
        <v>57396.5</v>
      </c>
      <c r="T121" s="30">
        <f>2540</f>
        <v>2540</v>
      </c>
      <c r="U121" s="30" t="str">
        <f>"－"</f>
        <v>－</v>
      </c>
      <c r="V121" s="30">
        <f>145862200</f>
        <v>145862200</v>
      </c>
      <c r="W121" s="30" t="str">
        <f>"－"</f>
        <v>－</v>
      </c>
      <c r="X121" s="34">
        <f>20</f>
        <v>20</v>
      </c>
    </row>
    <row r="122" spans="1:24">
      <c r="A122" s="25" t="s">
        <v>1128</v>
      </c>
      <c r="B122" s="25" t="s">
        <v>338</v>
      </c>
      <c r="C122" s="25" t="s">
        <v>339</v>
      </c>
      <c r="D122" s="25" t="s">
        <v>340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37410</f>
        <v>37410</v>
      </c>
      <c r="L122" s="32" t="s">
        <v>1110</v>
      </c>
      <c r="M122" s="31">
        <f>39150</f>
        <v>39150</v>
      </c>
      <c r="N122" s="32" t="s">
        <v>874</v>
      </c>
      <c r="O122" s="31">
        <f>36280</f>
        <v>36280</v>
      </c>
      <c r="P122" s="32" t="s">
        <v>677</v>
      </c>
      <c r="Q122" s="31">
        <f>38470</f>
        <v>38470</v>
      </c>
      <c r="R122" s="32" t="s">
        <v>883</v>
      </c>
      <c r="S122" s="33">
        <f>37976.5</f>
        <v>37976.5</v>
      </c>
      <c r="T122" s="30">
        <f>25424</f>
        <v>25424</v>
      </c>
      <c r="U122" s="30">
        <f>9000</f>
        <v>9000</v>
      </c>
      <c r="V122" s="30">
        <f>965404450</f>
        <v>965404450</v>
      </c>
      <c r="W122" s="30">
        <f>341351400</f>
        <v>341351400</v>
      </c>
      <c r="X122" s="34">
        <f>20</f>
        <v>20</v>
      </c>
    </row>
    <row r="123" spans="1:24">
      <c r="A123" s="25" t="s">
        <v>1128</v>
      </c>
      <c r="B123" s="25" t="s">
        <v>341</v>
      </c>
      <c r="C123" s="25" t="s">
        <v>342</v>
      </c>
      <c r="D123" s="25" t="s">
        <v>343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34200</f>
        <v>34200</v>
      </c>
      <c r="L123" s="32" t="s">
        <v>1110</v>
      </c>
      <c r="M123" s="31">
        <f>35440</f>
        <v>35440</v>
      </c>
      <c r="N123" s="32" t="s">
        <v>1114</v>
      </c>
      <c r="O123" s="31">
        <f>33450</f>
        <v>33450</v>
      </c>
      <c r="P123" s="32" t="s">
        <v>1117</v>
      </c>
      <c r="Q123" s="31">
        <f>34630</f>
        <v>34630</v>
      </c>
      <c r="R123" s="32" t="s">
        <v>883</v>
      </c>
      <c r="S123" s="33">
        <f>34330.5</f>
        <v>34330.5</v>
      </c>
      <c r="T123" s="30">
        <f>7029</f>
        <v>7029</v>
      </c>
      <c r="U123" s="30" t="str">
        <f>"－"</f>
        <v>－</v>
      </c>
      <c r="V123" s="30">
        <f>238514410</f>
        <v>238514410</v>
      </c>
      <c r="W123" s="30" t="str">
        <f>"－"</f>
        <v>－</v>
      </c>
      <c r="X123" s="34">
        <f>20</f>
        <v>20</v>
      </c>
    </row>
    <row r="124" spans="1:24">
      <c r="A124" s="25" t="s">
        <v>1128</v>
      </c>
      <c r="B124" s="25" t="s">
        <v>344</v>
      </c>
      <c r="C124" s="25" t="s">
        <v>345</v>
      </c>
      <c r="D124" s="25" t="s">
        <v>346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8386</f>
        <v>8386</v>
      </c>
      <c r="L124" s="32" t="s">
        <v>1110</v>
      </c>
      <c r="M124" s="31">
        <f>9445</f>
        <v>9445</v>
      </c>
      <c r="N124" s="32" t="s">
        <v>883</v>
      </c>
      <c r="O124" s="31">
        <f>8244</f>
        <v>8244</v>
      </c>
      <c r="P124" s="32" t="s">
        <v>674</v>
      </c>
      <c r="Q124" s="31">
        <f>9394</f>
        <v>9394</v>
      </c>
      <c r="R124" s="32" t="s">
        <v>883</v>
      </c>
      <c r="S124" s="33">
        <f>8850.7</f>
        <v>8850.7000000000007</v>
      </c>
      <c r="T124" s="30">
        <f>73599</f>
        <v>73599</v>
      </c>
      <c r="U124" s="30">
        <f>7000</f>
        <v>7000</v>
      </c>
      <c r="V124" s="30">
        <f>651435753</f>
        <v>651435753</v>
      </c>
      <c r="W124" s="30">
        <f>63465500</f>
        <v>63465500</v>
      </c>
      <c r="X124" s="34">
        <f>20</f>
        <v>20</v>
      </c>
    </row>
    <row r="125" spans="1:24">
      <c r="A125" s="25" t="s">
        <v>1128</v>
      </c>
      <c r="B125" s="25" t="s">
        <v>347</v>
      </c>
      <c r="C125" s="25" t="s">
        <v>348</v>
      </c>
      <c r="D125" s="25" t="s">
        <v>349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19410</f>
        <v>19410</v>
      </c>
      <c r="L125" s="32" t="s">
        <v>1110</v>
      </c>
      <c r="M125" s="31">
        <f>19625</f>
        <v>19625</v>
      </c>
      <c r="N125" s="32" t="s">
        <v>679</v>
      </c>
      <c r="O125" s="31">
        <f>18620</f>
        <v>18620</v>
      </c>
      <c r="P125" s="32" t="s">
        <v>677</v>
      </c>
      <c r="Q125" s="31">
        <f>19045</f>
        <v>19045</v>
      </c>
      <c r="R125" s="32" t="s">
        <v>883</v>
      </c>
      <c r="S125" s="33">
        <f>19192.75</f>
        <v>19192.75</v>
      </c>
      <c r="T125" s="30">
        <f>14775</f>
        <v>14775</v>
      </c>
      <c r="U125" s="30">
        <f>1</f>
        <v>1</v>
      </c>
      <c r="V125" s="30">
        <f>283210555</f>
        <v>283210555</v>
      </c>
      <c r="W125" s="30">
        <f>19320</f>
        <v>19320</v>
      </c>
      <c r="X125" s="34">
        <f>20</f>
        <v>20</v>
      </c>
    </row>
    <row r="126" spans="1:24">
      <c r="A126" s="25" t="s">
        <v>1128</v>
      </c>
      <c r="B126" s="25" t="s">
        <v>350</v>
      </c>
      <c r="C126" s="25" t="s">
        <v>351</v>
      </c>
      <c r="D126" s="25" t="s">
        <v>352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83610</f>
        <v>83610</v>
      </c>
      <c r="L126" s="32" t="s">
        <v>1110</v>
      </c>
      <c r="M126" s="31">
        <f>89630</f>
        <v>89630</v>
      </c>
      <c r="N126" s="32" t="s">
        <v>874</v>
      </c>
      <c r="O126" s="31">
        <f>80010</f>
        <v>80010</v>
      </c>
      <c r="P126" s="32" t="s">
        <v>677</v>
      </c>
      <c r="Q126" s="31">
        <f>89200</f>
        <v>89200</v>
      </c>
      <c r="R126" s="32" t="s">
        <v>883</v>
      </c>
      <c r="S126" s="33">
        <f>85716.5</f>
        <v>85716.5</v>
      </c>
      <c r="T126" s="30">
        <f>25026</f>
        <v>25026</v>
      </c>
      <c r="U126" s="30">
        <f>1212</f>
        <v>1212</v>
      </c>
      <c r="V126" s="30">
        <f>2140055460</f>
        <v>2140055460</v>
      </c>
      <c r="W126" s="30">
        <f>98980890</f>
        <v>98980890</v>
      </c>
      <c r="X126" s="34">
        <f>20</f>
        <v>20</v>
      </c>
    </row>
    <row r="127" spans="1:24">
      <c r="A127" s="25" t="s">
        <v>1128</v>
      </c>
      <c r="B127" s="25" t="s">
        <v>1139</v>
      </c>
      <c r="C127" s="25" t="s">
        <v>1138</v>
      </c>
      <c r="D127" s="25" t="s">
        <v>1137</v>
      </c>
      <c r="E127" s="26" t="s">
        <v>672</v>
      </c>
      <c r="F127" s="27" t="s">
        <v>673</v>
      </c>
      <c r="G127" s="28" t="s">
        <v>1133</v>
      </c>
      <c r="H127" s="29"/>
      <c r="I127" s="29" t="s">
        <v>465</v>
      </c>
      <c r="J127" s="30">
        <v>1</v>
      </c>
      <c r="K127" s="31">
        <f>10280</f>
        <v>10280</v>
      </c>
      <c r="L127" s="32" t="s">
        <v>874</v>
      </c>
      <c r="M127" s="31">
        <f>10300</f>
        <v>10300</v>
      </c>
      <c r="N127" s="32" t="s">
        <v>1114</v>
      </c>
      <c r="O127" s="31">
        <f>10090</f>
        <v>10090</v>
      </c>
      <c r="P127" s="32" t="s">
        <v>679</v>
      </c>
      <c r="Q127" s="31">
        <f>10155</f>
        <v>10155</v>
      </c>
      <c r="R127" s="32" t="s">
        <v>883</v>
      </c>
      <c r="S127" s="33">
        <f>10163.33</f>
        <v>10163.33</v>
      </c>
      <c r="T127" s="30">
        <f>50171</f>
        <v>50171</v>
      </c>
      <c r="U127" s="30" t="str">
        <f>"－"</f>
        <v>－</v>
      </c>
      <c r="V127" s="30">
        <f>512632865</f>
        <v>512632865</v>
      </c>
      <c r="W127" s="30" t="str">
        <f>"－"</f>
        <v>－</v>
      </c>
      <c r="X127" s="34">
        <f>6</f>
        <v>6</v>
      </c>
    </row>
    <row r="128" spans="1:24">
      <c r="A128" s="25" t="s">
        <v>1128</v>
      </c>
      <c r="B128" s="25" t="s">
        <v>353</v>
      </c>
      <c r="C128" s="25" t="s">
        <v>354</v>
      </c>
      <c r="D128" s="25" t="s">
        <v>355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29015</f>
        <v>29015</v>
      </c>
      <c r="L128" s="32" t="s">
        <v>1110</v>
      </c>
      <c r="M128" s="31">
        <f>31170</f>
        <v>31170</v>
      </c>
      <c r="N128" s="32" t="s">
        <v>1114</v>
      </c>
      <c r="O128" s="31">
        <f>28900</f>
        <v>28900</v>
      </c>
      <c r="P128" s="32" t="s">
        <v>677</v>
      </c>
      <c r="Q128" s="31">
        <f>30740</f>
        <v>30740</v>
      </c>
      <c r="R128" s="32" t="s">
        <v>883</v>
      </c>
      <c r="S128" s="33">
        <f>29835.25</f>
        <v>29835.25</v>
      </c>
      <c r="T128" s="30">
        <f>11060</f>
        <v>11060</v>
      </c>
      <c r="U128" s="30">
        <f>6510</f>
        <v>6510</v>
      </c>
      <c r="V128" s="30">
        <f>335750307</f>
        <v>335750307</v>
      </c>
      <c r="W128" s="30">
        <f>199437832</f>
        <v>199437832</v>
      </c>
      <c r="X128" s="34">
        <f>20</f>
        <v>20</v>
      </c>
    </row>
    <row r="129" spans="1:24">
      <c r="A129" s="25" t="s">
        <v>1128</v>
      </c>
      <c r="B129" s="25" t="s">
        <v>356</v>
      </c>
      <c r="C129" s="25" t="s">
        <v>357</v>
      </c>
      <c r="D129" s="25" t="s">
        <v>358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16460</f>
        <v>16460</v>
      </c>
      <c r="L129" s="32" t="s">
        <v>1110</v>
      </c>
      <c r="M129" s="31">
        <f>18000</f>
        <v>18000</v>
      </c>
      <c r="N129" s="32" t="s">
        <v>1113</v>
      </c>
      <c r="O129" s="31">
        <f>16380</f>
        <v>16380</v>
      </c>
      <c r="P129" s="32" t="s">
        <v>1110</v>
      </c>
      <c r="Q129" s="31">
        <f>17445</f>
        <v>17445</v>
      </c>
      <c r="R129" s="32" t="s">
        <v>883</v>
      </c>
      <c r="S129" s="33">
        <f>17122</f>
        <v>17122</v>
      </c>
      <c r="T129" s="30">
        <f>144575</f>
        <v>144575</v>
      </c>
      <c r="U129" s="30">
        <f>27700</f>
        <v>27700</v>
      </c>
      <c r="V129" s="30">
        <f>2470564455</f>
        <v>2470564455</v>
      </c>
      <c r="W129" s="30">
        <f>466481390</f>
        <v>466481390</v>
      </c>
      <c r="X129" s="34">
        <f>20</f>
        <v>20</v>
      </c>
    </row>
    <row r="130" spans="1:24">
      <c r="A130" s="25" t="s">
        <v>1128</v>
      </c>
      <c r="B130" s="25" t="s">
        <v>359</v>
      </c>
      <c r="C130" s="25" t="s">
        <v>360</v>
      </c>
      <c r="D130" s="25" t="s">
        <v>361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24020</f>
        <v>24020</v>
      </c>
      <c r="L130" s="32" t="s">
        <v>1110</v>
      </c>
      <c r="M130" s="31">
        <f>26445</f>
        <v>26445</v>
      </c>
      <c r="N130" s="32" t="s">
        <v>1114</v>
      </c>
      <c r="O130" s="31">
        <f>23820</f>
        <v>23820</v>
      </c>
      <c r="P130" s="32" t="s">
        <v>677</v>
      </c>
      <c r="Q130" s="31">
        <f>26090</f>
        <v>26090</v>
      </c>
      <c r="R130" s="32" t="s">
        <v>883</v>
      </c>
      <c r="S130" s="33">
        <f>25094.5</f>
        <v>25094.5</v>
      </c>
      <c r="T130" s="30">
        <f>21350</f>
        <v>21350</v>
      </c>
      <c r="U130" s="30" t="str">
        <f>"－"</f>
        <v>－</v>
      </c>
      <c r="V130" s="30">
        <f>530338925</f>
        <v>530338925</v>
      </c>
      <c r="W130" s="30" t="str">
        <f>"－"</f>
        <v>－</v>
      </c>
      <c r="X130" s="34">
        <f>20</f>
        <v>20</v>
      </c>
    </row>
    <row r="131" spans="1:24">
      <c r="A131" s="25" t="s">
        <v>1128</v>
      </c>
      <c r="B131" s="25" t="s">
        <v>362</v>
      </c>
      <c r="C131" s="25" t="s">
        <v>363</v>
      </c>
      <c r="D131" s="25" t="s">
        <v>364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</v>
      </c>
      <c r="K131" s="31">
        <f>37210</f>
        <v>37210</v>
      </c>
      <c r="L131" s="32" t="s">
        <v>1110</v>
      </c>
      <c r="M131" s="31">
        <f>46300</f>
        <v>46300</v>
      </c>
      <c r="N131" s="32" t="s">
        <v>883</v>
      </c>
      <c r="O131" s="31">
        <f>36880</f>
        <v>36880</v>
      </c>
      <c r="P131" s="32" t="s">
        <v>677</v>
      </c>
      <c r="Q131" s="31">
        <f>43950</f>
        <v>43950</v>
      </c>
      <c r="R131" s="32" t="s">
        <v>883</v>
      </c>
      <c r="S131" s="33">
        <f>40005</f>
        <v>40005</v>
      </c>
      <c r="T131" s="30">
        <f>19418</f>
        <v>19418</v>
      </c>
      <c r="U131" s="30">
        <f>5950</f>
        <v>5950</v>
      </c>
      <c r="V131" s="30">
        <f>809805485</f>
        <v>809805485</v>
      </c>
      <c r="W131" s="30">
        <f>248200085</f>
        <v>248200085</v>
      </c>
      <c r="X131" s="34">
        <f>20</f>
        <v>20</v>
      </c>
    </row>
    <row r="132" spans="1:24">
      <c r="A132" s="25" t="s">
        <v>1128</v>
      </c>
      <c r="B132" s="25" t="s">
        <v>1136</v>
      </c>
      <c r="C132" s="25" t="s">
        <v>1135</v>
      </c>
      <c r="D132" s="25" t="s">
        <v>1134</v>
      </c>
      <c r="E132" s="26" t="s">
        <v>672</v>
      </c>
      <c r="F132" s="27" t="s">
        <v>673</v>
      </c>
      <c r="G132" s="28" t="s">
        <v>1133</v>
      </c>
      <c r="H132" s="29"/>
      <c r="I132" s="29" t="s">
        <v>465</v>
      </c>
      <c r="J132" s="30">
        <v>1</v>
      </c>
      <c r="K132" s="31">
        <f>10440</f>
        <v>10440</v>
      </c>
      <c r="L132" s="32" t="s">
        <v>874</v>
      </c>
      <c r="M132" s="31">
        <f>10460</f>
        <v>10460</v>
      </c>
      <c r="N132" s="32" t="s">
        <v>874</v>
      </c>
      <c r="O132" s="31">
        <f>10215</f>
        <v>10215</v>
      </c>
      <c r="P132" s="32" t="s">
        <v>679</v>
      </c>
      <c r="Q132" s="31">
        <f>10430</f>
        <v>10430</v>
      </c>
      <c r="R132" s="32" t="s">
        <v>883</v>
      </c>
      <c r="S132" s="33">
        <f>10347.5</f>
        <v>10347.5</v>
      </c>
      <c r="T132" s="30">
        <f>441764</f>
        <v>441764</v>
      </c>
      <c r="U132" s="30" t="str">
        <f>"－"</f>
        <v>－</v>
      </c>
      <c r="V132" s="30">
        <f>4566736875</f>
        <v>4566736875</v>
      </c>
      <c r="W132" s="30" t="str">
        <f>"－"</f>
        <v>－</v>
      </c>
      <c r="X132" s="34">
        <f>6</f>
        <v>6</v>
      </c>
    </row>
    <row r="133" spans="1:24">
      <c r="A133" s="25" t="s">
        <v>1128</v>
      </c>
      <c r="B133" s="25" t="s">
        <v>365</v>
      </c>
      <c r="C133" s="25" t="s">
        <v>926</v>
      </c>
      <c r="D133" s="25" t="s">
        <v>927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1941</f>
        <v>1941</v>
      </c>
      <c r="L133" s="32" t="s">
        <v>1110</v>
      </c>
      <c r="M133" s="31">
        <f>2063</f>
        <v>2063</v>
      </c>
      <c r="N133" s="32" t="s">
        <v>874</v>
      </c>
      <c r="O133" s="31">
        <f>1898</f>
        <v>1898</v>
      </c>
      <c r="P133" s="32" t="s">
        <v>677</v>
      </c>
      <c r="Q133" s="31">
        <f>2049</f>
        <v>2049</v>
      </c>
      <c r="R133" s="32" t="s">
        <v>883</v>
      </c>
      <c r="S133" s="33">
        <f>1990.88</f>
        <v>1990.88</v>
      </c>
      <c r="T133" s="30">
        <f>2646920</f>
        <v>2646920</v>
      </c>
      <c r="U133" s="30">
        <f>1936630</f>
        <v>1936630</v>
      </c>
      <c r="V133" s="30">
        <f>5224200655</f>
        <v>5224200655</v>
      </c>
      <c r="W133" s="30">
        <f>3821992560</f>
        <v>3821992560</v>
      </c>
      <c r="X133" s="34">
        <f>20</f>
        <v>20</v>
      </c>
    </row>
    <row r="134" spans="1:24">
      <c r="A134" s="25" t="s">
        <v>1128</v>
      </c>
      <c r="B134" s="25" t="s">
        <v>366</v>
      </c>
      <c r="C134" s="25" t="s">
        <v>928</v>
      </c>
      <c r="D134" s="25" t="s">
        <v>929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3108</f>
        <v>3108</v>
      </c>
      <c r="L134" s="32" t="s">
        <v>1110</v>
      </c>
      <c r="M134" s="31">
        <f>3247</f>
        <v>3247</v>
      </c>
      <c r="N134" s="32" t="s">
        <v>1111</v>
      </c>
      <c r="O134" s="31">
        <f>3033</f>
        <v>3033</v>
      </c>
      <c r="P134" s="32" t="s">
        <v>677</v>
      </c>
      <c r="Q134" s="31">
        <f>3196</f>
        <v>3196</v>
      </c>
      <c r="R134" s="32" t="s">
        <v>883</v>
      </c>
      <c r="S134" s="33">
        <f>3141.22</f>
        <v>3141.22</v>
      </c>
      <c r="T134" s="30">
        <f>47180</f>
        <v>47180</v>
      </c>
      <c r="U134" s="30">
        <f>40000</f>
        <v>40000</v>
      </c>
      <c r="V134" s="30">
        <f>145067290</f>
        <v>145067290</v>
      </c>
      <c r="W134" s="30">
        <f>122168000</f>
        <v>122168000</v>
      </c>
      <c r="X134" s="34">
        <f>18</f>
        <v>18</v>
      </c>
    </row>
    <row r="135" spans="1:24">
      <c r="A135" s="25" t="s">
        <v>1128</v>
      </c>
      <c r="B135" s="25" t="s">
        <v>367</v>
      </c>
      <c r="C135" s="25" t="s">
        <v>930</v>
      </c>
      <c r="D135" s="25" t="s">
        <v>931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3380</f>
        <v>3380</v>
      </c>
      <c r="L135" s="32" t="s">
        <v>1110</v>
      </c>
      <c r="M135" s="31">
        <f>3546</f>
        <v>3546</v>
      </c>
      <c r="N135" s="32" t="s">
        <v>1111</v>
      </c>
      <c r="O135" s="31">
        <f>3300</f>
        <v>3300</v>
      </c>
      <c r="P135" s="32" t="s">
        <v>684</v>
      </c>
      <c r="Q135" s="31">
        <f>3528</f>
        <v>3528</v>
      </c>
      <c r="R135" s="32" t="s">
        <v>883</v>
      </c>
      <c r="S135" s="33">
        <f>3457</f>
        <v>3457</v>
      </c>
      <c r="T135" s="30">
        <f>21180</f>
        <v>21180</v>
      </c>
      <c r="U135" s="30" t="str">
        <f>"－"</f>
        <v>－</v>
      </c>
      <c r="V135" s="30">
        <f>71910440</f>
        <v>71910440</v>
      </c>
      <c r="W135" s="30" t="str">
        <f>"－"</f>
        <v>－</v>
      </c>
      <c r="X135" s="34">
        <f>17</f>
        <v>17</v>
      </c>
    </row>
    <row r="136" spans="1:24">
      <c r="A136" s="25" t="s">
        <v>1128</v>
      </c>
      <c r="B136" s="25" t="s">
        <v>368</v>
      </c>
      <c r="C136" s="25" t="s">
        <v>932</v>
      </c>
      <c r="D136" s="25" t="s">
        <v>933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2159</f>
        <v>2159</v>
      </c>
      <c r="L136" s="32" t="s">
        <v>674</v>
      </c>
      <c r="M136" s="31">
        <f>2285.5</f>
        <v>2285.5</v>
      </c>
      <c r="N136" s="32" t="s">
        <v>1111</v>
      </c>
      <c r="O136" s="31">
        <f>2103.5</f>
        <v>2103.5</v>
      </c>
      <c r="P136" s="32" t="s">
        <v>1123</v>
      </c>
      <c r="Q136" s="31">
        <f>2245.5</f>
        <v>2245.5</v>
      </c>
      <c r="R136" s="32" t="s">
        <v>1111</v>
      </c>
      <c r="S136" s="33">
        <f>2177.44</f>
        <v>2177.44</v>
      </c>
      <c r="T136" s="30">
        <f>25280</f>
        <v>25280</v>
      </c>
      <c r="U136" s="30" t="str">
        <f>"－"</f>
        <v>－</v>
      </c>
      <c r="V136" s="30">
        <f>54580935</f>
        <v>54580935</v>
      </c>
      <c r="W136" s="30" t="str">
        <f>"－"</f>
        <v>－</v>
      </c>
      <c r="X136" s="34">
        <f>16</f>
        <v>16</v>
      </c>
    </row>
    <row r="137" spans="1:24">
      <c r="A137" s="25" t="s">
        <v>1128</v>
      </c>
      <c r="B137" s="25" t="s">
        <v>369</v>
      </c>
      <c r="C137" s="25" t="s">
        <v>370</v>
      </c>
      <c r="D137" s="25" t="s">
        <v>371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10</v>
      </c>
      <c r="K137" s="31">
        <f>549.4</f>
        <v>549.4</v>
      </c>
      <c r="L137" s="32" t="s">
        <v>1110</v>
      </c>
      <c r="M137" s="31">
        <f>576</f>
        <v>576</v>
      </c>
      <c r="N137" s="32" t="s">
        <v>883</v>
      </c>
      <c r="O137" s="31">
        <f>540.2</f>
        <v>540.20000000000005</v>
      </c>
      <c r="P137" s="32" t="s">
        <v>684</v>
      </c>
      <c r="Q137" s="31">
        <f>573.1</f>
        <v>573.1</v>
      </c>
      <c r="R137" s="32" t="s">
        <v>883</v>
      </c>
      <c r="S137" s="33">
        <f>557.28</f>
        <v>557.28</v>
      </c>
      <c r="T137" s="30">
        <f>46864150</f>
        <v>46864150</v>
      </c>
      <c r="U137" s="30">
        <f>24740</f>
        <v>24740</v>
      </c>
      <c r="V137" s="30">
        <f>26194806579</f>
        <v>26194806579</v>
      </c>
      <c r="W137" s="30">
        <f>14119406</f>
        <v>14119406</v>
      </c>
      <c r="X137" s="34">
        <f>20</f>
        <v>20</v>
      </c>
    </row>
    <row r="138" spans="1:24">
      <c r="A138" s="25" t="s">
        <v>1128</v>
      </c>
      <c r="B138" s="25" t="s">
        <v>372</v>
      </c>
      <c r="C138" s="25" t="s">
        <v>373</v>
      </c>
      <c r="D138" s="25" t="s">
        <v>374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10</v>
      </c>
      <c r="K138" s="31">
        <f>294.3</f>
        <v>294.3</v>
      </c>
      <c r="L138" s="32" t="s">
        <v>1110</v>
      </c>
      <c r="M138" s="31">
        <f>300.4</f>
        <v>300.39999999999998</v>
      </c>
      <c r="N138" s="32" t="s">
        <v>883</v>
      </c>
      <c r="O138" s="31">
        <f>290.8</f>
        <v>290.8</v>
      </c>
      <c r="P138" s="32" t="s">
        <v>875</v>
      </c>
      <c r="Q138" s="31">
        <f>299.2</f>
        <v>299.2</v>
      </c>
      <c r="R138" s="32" t="s">
        <v>883</v>
      </c>
      <c r="S138" s="33">
        <f>295.73</f>
        <v>295.73</v>
      </c>
      <c r="T138" s="30">
        <f>39022590</f>
        <v>39022590</v>
      </c>
      <c r="U138" s="30">
        <f>29420020</f>
        <v>29420020</v>
      </c>
      <c r="V138" s="30">
        <f>11519756182</f>
        <v>11519756182</v>
      </c>
      <c r="W138" s="30">
        <f>8686019318</f>
        <v>8686019318</v>
      </c>
      <c r="X138" s="34">
        <f>20</f>
        <v>20</v>
      </c>
    </row>
    <row r="139" spans="1:24">
      <c r="A139" s="25" t="s">
        <v>1128</v>
      </c>
      <c r="B139" s="25" t="s">
        <v>375</v>
      </c>
      <c r="C139" s="25" t="s">
        <v>973</v>
      </c>
      <c r="D139" s="25" t="s">
        <v>376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4620</f>
        <v>4620</v>
      </c>
      <c r="L139" s="32" t="s">
        <v>1110</v>
      </c>
      <c r="M139" s="31">
        <f>4900</f>
        <v>4900</v>
      </c>
      <c r="N139" s="32" t="s">
        <v>883</v>
      </c>
      <c r="O139" s="31">
        <f>4565</f>
        <v>4565</v>
      </c>
      <c r="P139" s="32" t="s">
        <v>684</v>
      </c>
      <c r="Q139" s="31">
        <f>4820</f>
        <v>4820</v>
      </c>
      <c r="R139" s="32" t="s">
        <v>883</v>
      </c>
      <c r="S139" s="33">
        <f>4697.75</f>
        <v>4697.75</v>
      </c>
      <c r="T139" s="30">
        <f>138404</f>
        <v>138404</v>
      </c>
      <c r="U139" s="30">
        <f>92622</f>
        <v>92622</v>
      </c>
      <c r="V139" s="30">
        <f>651037747</f>
        <v>651037747</v>
      </c>
      <c r="W139" s="30">
        <f>437180427</f>
        <v>437180427</v>
      </c>
      <c r="X139" s="34">
        <f>20</f>
        <v>20</v>
      </c>
    </row>
    <row r="140" spans="1:24">
      <c r="A140" s="25" t="s">
        <v>1128</v>
      </c>
      <c r="B140" s="25" t="s">
        <v>377</v>
      </c>
      <c r="C140" s="25" t="s">
        <v>378</v>
      </c>
      <c r="D140" s="25" t="s">
        <v>379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2550</f>
        <v>2550</v>
      </c>
      <c r="L140" s="32" t="s">
        <v>1110</v>
      </c>
      <c r="M140" s="31">
        <f>2639</f>
        <v>2639</v>
      </c>
      <c r="N140" s="32" t="s">
        <v>874</v>
      </c>
      <c r="O140" s="31">
        <f>2500</f>
        <v>2500</v>
      </c>
      <c r="P140" s="32" t="s">
        <v>1124</v>
      </c>
      <c r="Q140" s="31">
        <f>2629</f>
        <v>2629</v>
      </c>
      <c r="R140" s="32" t="s">
        <v>883</v>
      </c>
      <c r="S140" s="33">
        <f>2576.5</f>
        <v>2576.5</v>
      </c>
      <c r="T140" s="30">
        <f>94319</f>
        <v>94319</v>
      </c>
      <c r="U140" s="30">
        <f>3831</f>
        <v>3831</v>
      </c>
      <c r="V140" s="30">
        <f>243270753</f>
        <v>243270753</v>
      </c>
      <c r="W140" s="30">
        <f>9991248</f>
        <v>9991248</v>
      </c>
      <c r="X140" s="34">
        <f>20</f>
        <v>20</v>
      </c>
    </row>
    <row r="141" spans="1:24">
      <c r="A141" s="25" t="s">
        <v>1128</v>
      </c>
      <c r="B141" s="25" t="s">
        <v>380</v>
      </c>
      <c r="C141" s="25" t="s">
        <v>381</v>
      </c>
      <c r="D141" s="25" t="s">
        <v>382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2944</f>
        <v>2944</v>
      </c>
      <c r="L141" s="32" t="s">
        <v>1110</v>
      </c>
      <c r="M141" s="31">
        <f>3045</f>
        <v>3045</v>
      </c>
      <c r="N141" s="32" t="s">
        <v>883</v>
      </c>
      <c r="O141" s="31">
        <f>2903</f>
        <v>2903</v>
      </c>
      <c r="P141" s="32" t="s">
        <v>875</v>
      </c>
      <c r="Q141" s="31">
        <f>3010</f>
        <v>3010</v>
      </c>
      <c r="R141" s="32" t="s">
        <v>883</v>
      </c>
      <c r="S141" s="33">
        <f>2960.25</f>
        <v>2960.25</v>
      </c>
      <c r="T141" s="30">
        <f>204105</f>
        <v>204105</v>
      </c>
      <c r="U141" s="30">
        <f>73552</f>
        <v>73552</v>
      </c>
      <c r="V141" s="30">
        <f>608688532</f>
        <v>608688532</v>
      </c>
      <c r="W141" s="30">
        <f>221305175</f>
        <v>221305175</v>
      </c>
      <c r="X141" s="34">
        <f>20</f>
        <v>20</v>
      </c>
    </row>
    <row r="142" spans="1:24">
      <c r="A142" s="25" t="s">
        <v>1128</v>
      </c>
      <c r="B142" s="25" t="s">
        <v>383</v>
      </c>
      <c r="C142" s="25" t="s">
        <v>384</v>
      </c>
      <c r="D142" s="25" t="s">
        <v>385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9893</f>
        <v>9893</v>
      </c>
      <c r="L142" s="32" t="s">
        <v>1110</v>
      </c>
      <c r="M142" s="31">
        <f>10540</f>
        <v>10540</v>
      </c>
      <c r="N142" s="32" t="s">
        <v>679</v>
      </c>
      <c r="O142" s="31">
        <f>9639</f>
        <v>9639</v>
      </c>
      <c r="P142" s="32" t="s">
        <v>1123</v>
      </c>
      <c r="Q142" s="31">
        <f>10425</f>
        <v>10425</v>
      </c>
      <c r="R142" s="32" t="s">
        <v>883</v>
      </c>
      <c r="S142" s="33">
        <f>10085.2</f>
        <v>10085.200000000001</v>
      </c>
      <c r="T142" s="30">
        <f>183242</f>
        <v>183242</v>
      </c>
      <c r="U142" s="30">
        <f>64400</f>
        <v>64400</v>
      </c>
      <c r="V142" s="30">
        <f>1827653457</f>
        <v>1827653457</v>
      </c>
      <c r="W142" s="30">
        <f>644522515</f>
        <v>644522515</v>
      </c>
      <c r="X142" s="34">
        <f>20</f>
        <v>20</v>
      </c>
    </row>
    <row r="143" spans="1:24">
      <c r="A143" s="25" t="s">
        <v>1128</v>
      </c>
      <c r="B143" s="25" t="s">
        <v>386</v>
      </c>
      <c r="C143" s="25" t="s">
        <v>387</v>
      </c>
      <c r="D143" s="25" t="s">
        <v>388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</v>
      </c>
      <c r="K143" s="31">
        <f>3030</f>
        <v>3030</v>
      </c>
      <c r="L143" s="32" t="s">
        <v>1110</v>
      </c>
      <c r="M143" s="31">
        <f>3275</f>
        <v>3275</v>
      </c>
      <c r="N143" s="32" t="s">
        <v>883</v>
      </c>
      <c r="O143" s="31">
        <f>2934</f>
        <v>2934</v>
      </c>
      <c r="P143" s="32" t="s">
        <v>684</v>
      </c>
      <c r="Q143" s="31">
        <f>3265</f>
        <v>3265</v>
      </c>
      <c r="R143" s="32" t="s">
        <v>883</v>
      </c>
      <c r="S143" s="33">
        <f>3112.5</f>
        <v>3112.5</v>
      </c>
      <c r="T143" s="30">
        <f>3040437</f>
        <v>3040437</v>
      </c>
      <c r="U143" s="30">
        <f>1409</f>
        <v>1409</v>
      </c>
      <c r="V143" s="30">
        <f>9474508393</f>
        <v>9474508393</v>
      </c>
      <c r="W143" s="30">
        <f>4473649</f>
        <v>4473649</v>
      </c>
      <c r="X143" s="34">
        <f>20</f>
        <v>20</v>
      </c>
    </row>
    <row r="144" spans="1:24">
      <c r="A144" s="25" t="s">
        <v>1128</v>
      </c>
      <c r="B144" s="25" t="s">
        <v>389</v>
      </c>
      <c r="C144" s="25" t="s">
        <v>390</v>
      </c>
      <c r="D144" s="25" t="s">
        <v>391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28535</f>
        <v>28535</v>
      </c>
      <c r="L144" s="32" t="s">
        <v>1110</v>
      </c>
      <c r="M144" s="31">
        <f>34160</f>
        <v>34160</v>
      </c>
      <c r="N144" s="32" t="s">
        <v>883</v>
      </c>
      <c r="O144" s="31">
        <f>28535</f>
        <v>28535</v>
      </c>
      <c r="P144" s="32" t="s">
        <v>1110</v>
      </c>
      <c r="Q144" s="31">
        <f>32340</f>
        <v>32340</v>
      </c>
      <c r="R144" s="32" t="s">
        <v>883</v>
      </c>
      <c r="S144" s="33">
        <f>30299.75</f>
        <v>30299.75</v>
      </c>
      <c r="T144" s="30">
        <f>11015</f>
        <v>11015</v>
      </c>
      <c r="U144" s="30" t="str">
        <f t="shared" ref="U144:U149" si="0">"－"</f>
        <v>－</v>
      </c>
      <c r="V144" s="30">
        <f>333863745</f>
        <v>333863745</v>
      </c>
      <c r="W144" s="30" t="str">
        <f t="shared" ref="W144:W149" si="1">"－"</f>
        <v>－</v>
      </c>
      <c r="X144" s="34">
        <f>20</f>
        <v>20</v>
      </c>
    </row>
    <row r="145" spans="1:24">
      <c r="A145" s="25" t="s">
        <v>1128</v>
      </c>
      <c r="B145" s="25" t="s">
        <v>392</v>
      </c>
      <c r="C145" s="25" t="s">
        <v>393</v>
      </c>
      <c r="D145" s="25" t="s">
        <v>394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10</v>
      </c>
      <c r="K145" s="31">
        <f>3104</f>
        <v>3104</v>
      </c>
      <c r="L145" s="32" t="s">
        <v>1110</v>
      </c>
      <c r="M145" s="31">
        <f>3623</f>
        <v>3623</v>
      </c>
      <c r="N145" s="32" t="s">
        <v>679</v>
      </c>
      <c r="O145" s="31">
        <f>3104</f>
        <v>3104</v>
      </c>
      <c r="P145" s="32" t="s">
        <v>1110</v>
      </c>
      <c r="Q145" s="31">
        <f>3526</f>
        <v>3526</v>
      </c>
      <c r="R145" s="32" t="s">
        <v>883</v>
      </c>
      <c r="S145" s="33">
        <f>3369.5</f>
        <v>3369.5</v>
      </c>
      <c r="T145" s="30">
        <f>46160</f>
        <v>46160</v>
      </c>
      <c r="U145" s="30" t="str">
        <f t="shared" si="0"/>
        <v>－</v>
      </c>
      <c r="V145" s="30">
        <f>155257790</f>
        <v>155257790</v>
      </c>
      <c r="W145" s="30" t="str">
        <f t="shared" si="1"/>
        <v>－</v>
      </c>
      <c r="X145" s="34">
        <f>20</f>
        <v>20</v>
      </c>
    </row>
    <row r="146" spans="1:24">
      <c r="A146" s="25" t="s">
        <v>1128</v>
      </c>
      <c r="B146" s="25" t="s">
        <v>395</v>
      </c>
      <c r="C146" s="25" t="s">
        <v>396</v>
      </c>
      <c r="D146" s="25" t="s">
        <v>397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12205</f>
        <v>12205</v>
      </c>
      <c r="L146" s="32" t="s">
        <v>1110</v>
      </c>
      <c r="M146" s="31">
        <f>12850</f>
        <v>12850</v>
      </c>
      <c r="N146" s="32" t="s">
        <v>678</v>
      </c>
      <c r="O146" s="31">
        <f>12200</f>
        <v>12200</v>
      </c>
      <c r="P146" s="32" t="s">
        <v>1110</v>
      </c>
      <c r="Q146" s="31">
        <f>12780</f>
        <v>12780</v>
      </c>
      <c r="R146" s="32" t="s">
        <v>883</v>
      </c>
      <c r="S146" s="33">
        <f>12553.5</f>
        <v>12553.5</v>
      </c>
      <c r="T146" s="30">
        <f>9001</f>
        <v>9001</v>
      </c>
      <c r="U146" s="30" t="str">
        <f t="shared" si="0"/>
        <v>－</v>
      </c>
      <c r="V146" s="30">
        <f>113187055</f>
        <v>113187055</v>
      </c>
      <c r="W146" s="30" t="str">
        <f t="shared" si="1"/>
        <v>－</v>
      </c>
      <c r="X146" s="34">
        <f>20</f>
        <v>20</v>
      </c>
    </row>
    <row r="147" spans="1:24">
      <c r="A147" s="25" t="s">
        <v>1128</v>
      </c>
      <c r="B147" s="25" t="s">
        <v>398</v>
      </c>
      <c r="C147" s="25" t="s">
        <v>399</v>
      </c>
      <c r="D147" s="25" t="s">
        <v>400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</v>
      </c>
      <c r="K147" s="31">
        <f>13165</f>
        <v>13165</v>
      </c>
      <c r="L147" s="32" t="s">
        <v>1110</v>
      </c>
      <c r="M147" s="31">
        <f>14900</f>
        <v>14900</v>
      </c>
      <c r="N147" s="32" t="s">
        <v>678</v>
      </c>
      <c r="O147" s="31">
        <f>13075</f>
        <v>13075</v>
      </c>
      <c r="P147" s="32" t="s">
        <v>1110</v>
      </c>
      <c r="Q147" s="31">
        <f>14395</f>
        <v>14395</v>
      </c>
      <c r="R147" s="32" t="s">
        <v>883</v>
      </c>
      <c r="S147" s="33">
        <f>13988.75</f>
        <v>13988.75</v>
      </c>
      <c r="T147" s="30">
        <f>14504</f>
        <v>14504</v>
      </c>
      <c r="U147" s="30" t="str">
        <f t="shared" si="0"/>
        <v>－</v>
      </c>
      <c r="V147" s="30">
        <f>205964320</f>
        <v>205964320</v>
      </c>
      <c r="W147" s="30" t="str">
        <f t="shared" si="1"/>
        <v>－</v>
      </c>
      <c r="X147" s="34">
        <f>20</f>
        <v>20</v>
      </c>
    </row>
    <row r="148" spans="1:24">
      <c r="A148" s="25" t="s">
        <v>1128</v>
      </c>
      <c r="B148" s="25" t="s">
        <v>401</v>
      </c>
      <c r="C148" s="25" t="s">
        <v>402</v>
      </c>
      <c r="D148" s="25" t="s">
        <v>403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</v>
      </c>
      <c r="K148" s="31">
        <f>19400</f>
        <v>19400</v>
      </c>
      <c r="L148" s="32" t="s">
        <v>675</v>
      </c>
      <c r="M148" s="31">
        <f>20995</f>
        <v>20995</v>
      </c>
      <c r="N148" s="32" t="s">
        <v>1112</v>
      </c>
      <c r="O148" s="31">
        <f>19205</f>
        <v>19205</v>
      </c>
      <c r="P148" s="32" t="s">
        <v>675</v>
      </c>
      <c r="Q148" s="31">
        <f>19615</f>
        <v>19615</v>
      </c>
      <c r="R148" s="32" t="s">
        <v>883</v>
      </c>
      <c r="S148" s="33">
        <f>20080.5</f>
        <v>20080.5</v>
      </c>
      <c r="T148" s="30">
        <f>318</f>
        <v>318</v>
      </c>
      <c r="U148" s="30" t="str">
        <f t="shared" si="0"/>
        <v>－</v>
      </c>
      <c r="V148" s="30">
        <f>6362955</f>
        <v>6362955</v>
      </c>
      <c r="W148" s="30" t="str">
        <f t="shared" si="1"/>
        <v>－</v>
      </c>
      <c r="X148" s="34">
        <f>10</f>
        <v>10</v>
      </c>
    </row>
    <row r="149" spans="1:24">
      <c r="A149" s="25" t="s">
        <v>1128</v>
      </c>
      <c r="B149" s="25" t="s">
        <v>404</v>
      </c>
      <c r="C149" s="25" t="s">
        <v>405</v>
      </c>
      <c r="D149" s="25" t="s">
        <v>406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54900</f>
        <v>54900</v>
      </c>
      <c r="L149" s="32" t="s">
        <v>1110</v>
      </c>
      <c r="M149" s="31">
        <f>55980</f>
        <v>55980</v>
      </c>
      <c r="N149" s="32" t="s">
        <v>676</v>
      </c>
      <c r="O149" s="31">
        <f>54480</f>
        <v>54480</v>
      </c>
      <c r="P149" s="32" t="s">
        <v>680</v>
      </c>
      <c r="Q149" s="31">
        <f>55510</f>
        <v>55510</v>
      </c>
      <c r="R149" s="32" t="s">
        <v>883</v>
      </c>
      <c r="S149" s="33">
        <f>55193.5</f>
        <v>55193.5</v>
      </c>
      <c r="T149" s="30">
        <f>3710</f>
        <v>3710</v>
      </c>
      <c r="U149" s="30" t="str">
        <f t="shared" si="0"/>
        <v>－</v>
      </c>
      <c r="V149" s="30">
        <f>204786300</f>
        <v>204786300</v>
      </c>
      <c r="W149" s="30" t="str">
        <f t="shared" si="1"/>
        <v>－</v>
      </c>
      <c r="X149" s="34">
        <f>20</f>
        <v>20</v>
      </c>
    </row>
    <row r="150" spans="1:24">
      <c r="A150" s="25" t="s">
        <v>1128</v>
      </c>
      <c r="B150" s="25" t="s">
        <v>407</v>
      </c>
      <c r="C150" s="25" t="s">
        <v>974</v>
      </c>
      <c r="D150" s="25" t="s">
        <v>408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351.8</f>
        <v>351.8</v>
      </c>
      <c r="L150" s="32" t="s">
        <v>1110</v>
      </c>
      <c r="M150" s="31">
        <f>356.4</f>
        <v>356.4</v>
      </c>
      <c r="N150" s="32" t="s">
        <v>675</v>
      </c>
      <c r="O150" s="31">
        <f>342.2</f>
        <v>342.2</v>
      </c>
      <c r="P150" s="32" t="s">
        <v>1117</v>
      </c>
      <c r="Q150" s="31">
        <f>354.4</f>
        <v>354.4</v>
      </c>
      <c r="R150" s="32" t="s">
        <v>883</v>
      </c>
      <c r="S150" s="33">
        <f>350.79</f>
        <v>350.79</v>
      </c>
      <c r="T150" s="30">
        <f>47761140</f>
        <v>47761140</v>
      </c>
      <c r="U150" s="30">
        <f>9630</f>
        <v>9630</v>
      </c>
      <c r="V150" s="30">
        <f>16724835585</f>
        <v>16724835585</v>
      </c>
      <c r="W150" s="30">
        <f>3260241</f>
        <v>3260241</v>
      </c>
      <c r="X150" s="34">
        <f>20</f>
        <v>20</v>
      </c>
    </row>
    <row r="151" spans="1:24">
      <c r="A151" s="25" t="s">
        <v>1128</v>
      </c>
      <c r="B151" s="25" t="s">
        <v>409</v>
      </c>
      <c r="C151" s="25" t="s">
        <v>975</v>
      </c>
      <c r="D151" s="25" t="s">
        <v>410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48880</f>
        <v>48880</v>
      </c>
      <c r="L151" s="32" t="s">
        <v>1110</v>
      </c>
      <c r="M151" s="31">
        <f>50570</f>
        <v>50570</v>
      </c>
      <c r="N151" s="32" t="s">
        <v>874</v>
      </c>
      <c r="O151" s="31">
        <f>47520</f>
        <v>47520</v>
      </c>
      <c r="P151" s="32" t="s">
        <v>684</v>
      </c>
      <c r="Q151" s="31">
        <f>50260</f>
        <v>50260</v>
      </c>
      <c r="R151" s="32" t="s">
        <v>883</v>
      </c>
      <c r="S151" s="33">
        <f>48965.26</f>
        <v>48965.26</v>
      </c>
      <c r="T151" s="30">
        <f>2570</f>
        <v>2570</v>
      </c>
      <c r="U151" s="30" t="str">
        <f t="shared" ref="U151:U168" si="2">"－"</f>
        <v>－</v>
      </c>
      <c r="V151" s="30">
        <f>125213400</f>
        <v>125213400</v>
      </c>
      <c r="W151" s="30" t="str">
        <f t="shared" ref="W151:W168" si="3">"－"</f>
        <v>－</v>
      </c>
      <c r="X151" s="34">
        <f>19</f>
        <v>19</v>
      </c>
    </row>
    <row r="152" spans="1:24">
      <c r="A152" s="25" t="s">
        <v>1128</v>
      </c>
      <c r="B152" s="25" t="s">
        <v>411</v>
      </c>
      <c r="C152" s="25" t="s">
        <v>412</v>
      </c>
      <c r="D152" s="25" t="s">
        <v>976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</v>
      </c>
      <c r="K152" s="31">
        <f>5267</f>
        <v>5267</v>
      </c>
      <c r="L152" s="32" t="s">
        <v>1110</v>
      </c>
      <c r="M152" s="31">
        <f>5506</f>
        <v>5506</v>
      </c>
      <c r="N152" s="32" t="s">
        <v>874</v>
      </c>
      <c r="O152" s="31">
        <f>5213</f>
        <v>5213</v>
      </c>
      <c r="P152" s="32" t="s">
        <v>684</v>
      </c>
      <c r="Q152" s="31">
        <f>5500</f>
        <v>5500</v>
      </c>
      <c r="R152" s="32" t="s">
        <v>883</v>
      </c>
      <c r="S152" s="33">
        <f>5364.45</f>
        <v>5364.45</v>
      </c>
      <c r="T152" s="30">
        <f>68980</f>
        <v>68980</v>
      </c>
      <c r="U152" s="30" t="str">
        <f t="shared" si="2"/>
        <v>－</v>
      </c>
      <c r="V152" s="30">
        <f>371937730</f>
        <v>371937730</v>
      </c>
      <c r="W152" s="30" t="str">
        <f t="shared" si="3"/>
        <v>－</v>
      </c>
      <c r="X152" s="34">
        <f>20</f>
        <v>20</v>
      </c>
    </row>
    <row r="153" spans="1:24">
      <c r="A153" s="25" t="s">
        <v>1128</v>
      </c>
      <c r="B153" s="25" t="s">
        <v>413</v>
      </c>
      <c r="C153" s="25" t="s">
        <v>977</v>
      </c>
      <c r="D153" s="25" t="s">
        <v>978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1888</f>
        <v>1888</v>
      </c>
      <c r="L153" s="32" t="s">
        <v>1110</v>
      </c>
      <c r="M153" s="31">
        <f>1973</f>
        <v>1973</v>
      </c>
      <c r="N153" s="32" t="s">
        <v>874</v>
      </c>
      <c r="O153" s="31">
        <f>1884</f>
        <v>1884</v>
      </c>
      <c r="P153" s="32" t="s">
        <v>1110</v>
      </c>
      <c r="Q153" s="31">
        <f>1958</f>
        <v>1958</v>
      </c>
      <c r="R153" s="32" t="s">
        <v>883</v>
      </c>
      <c r="S153" s="33">
        <f>1925.68</f>
        <v>1925.68</v>
      </c>
      <c r="T153" s="30">
        <f>155850</f>
        <v>155850</v>
      </c>
      <c r="U153" s="30" t="str">
        <f t="shared" si="2"/>
        <v>－</v>
      </c>
      <c r="V153" s="30">
        <f>301219330</f>
        <v>301219330</v>
      </c>
      <c r="W153" s="30" t="str">
        <f t="shared" si="3"/>
        <v>－</v>
      </c>
      <c r="X153" s="34">
        <f>20</f>
        <v>20</v>
      </c>
    </row>
    <row r="154" spans="1:24">
      <c r="A154" s="25" t="s">
        <v>1128</v>
      </c>
      <c r="B154" s="25" t="s">
        <v>414</v>
      </c>
      <c r="C154" s="25" t="s">
        <v>415</v>
      </c>
      <c r="D154" s="25" t="s">
        <v>416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100</v>
      </c>
      <c r="K154" s="31">
        <f>231.1</f>
        <v>231.1</v>
      </c>
      <c r="L154" s="32" t="s">
        <v>1110</v>
      </c>
      <c r="M154" s="31">
        <f>237.8</f>
        <v>237.8</v>
      </c>
      <c r="N154" s="32" t="s">
        <v>1112</v>
      </c>
      <c r="O154" s="31">
        <f>230</f>
        <v>230</v>
      </c>
      <c r="P154" s="32" t="s">
        <v>1110</v>
      </c>
      <c r="Q154" s="31">
        <f>234.1</f>
        <v>234.1</v>
      </c>
      <c r="R154" s="32" t="s">
        <v>883</v>
      </c>
      <c r="S154" s="33">
        <f>234.53</f>
        <v>234.53</v>
      </c>
      <c r="T154" s="30">
        <f>87500</f>
        <v>87500</v>
      </c>
      <c r="U154" s="30" t="str">
        <f t="shared" si="2"/>
        <v>－</v>
      </c>
      <c r="V154" s="30">
        <f>20539700</f>
        <v>20539700</v>
      </c>
      <c r="W154" s="30" t="str">
        <f t="shared" si="3"/>
        <v>－</v>
      </c>
      <c r="X154" s="34">
        <f>20</f>
        <v>20</v>
      </c>
    </row>
    <row r="155" spans="1:24">
      <c r="A155" s="25" t="s">
        <v>1128</v>
      </c>
      <c r="B155" s="25" t="s">
        <v>417</v>
      </c>
      <c r="C155" s="25" t="s">
        <v>418</v>
      </c>
      <c r="D155" s="25" t="s">
        <v>419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1554</f>
        <v>1554</v>
      </c>
      <c r="L155" s="32" t="s">
        <v>1110</v>
      </c>
      <c r="M155" s="31">
        <f>1899.5</f>
        <v>1899.5</v>
      </c>
      <c r="N155" s="32" t="s">
        <v>679</v>
      </c>
      <c r="O155" s="31">
        <f>1554</f>
        <v>1554</v>
      </c>
      <c r="P155" s="32" t="s">
        <v>1110</v>
      </c>
      <c r="Q155" s="31">
        <f>1634.5</f>
        <v>1634.5</v>
      </c>
      <c r="R155" s="32" t="s">
        <v>1111</v>
      </c>
      <c r="S155" s="33">
        <f>1608.05</f>
        <v>1608.05</v>
      </c>
      <c r="T155" s="30">
        <f>1100</f>
        <v>1100</v>
      </c>
      <c r="U155" s="30" t="str">
        <f t="shared" si="2"/>
        <v>－</v>
      </c>
      <c r="V155" s="30">
        <f>1766415</f>
        <v>1766415</v>
      </c>
      <c r="W155" s="30" t="str">
        <f t="shared" si="3"/>
        <v>－</v>
      </c>
      <c r="X155" s="34">
        <f>10</f>
        <v>10</v>
      </c>
    </row>
    <row r="156" spans="1:24">
      <c r="A156" s="25" t="s">
        <v>1128</v>
      </c>
      <c r="B156" s="25" t="s">
        <v>420</v>
      </c>
      <c r="C156" s="25" t="s">
        <v>421</v>
      </c>
      <c r="D156" s="25" t="s">
        <v>422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548.7</f>
        <v>548.70000000000005</v>
      </c>
      <c r="L156" s="32" t="s">
        <v>1110</v>
      </c>
      <c r="M156" s="31">
        <f>573</f>
        <v>573</v>
      </c>
      <c r="N156" s="32" t="s">
        <v>883</v>
      </c>
      <c r="O156" s="31">
        <f>527.9</f>
        <v>527.9</v>
      </c>
      <c r="P156" s="32" t="s">
        <v>677</v>
      </c>
      <c r="Q156" s="31">
        <f>565.5</f>
        <v>565.5</v>
      </c>
      <c r="R156" s="32" t="s">
        <v>883</v>
      </c>
      <c r="S156" s="33">
        <f>554.65</f>
        <v>554.65</v>
      </c>
      <c r="T156" s="30">
        <f>22300</f>
        <v>22300</v>
      </c>
      <c r="U156" s="30" t="str">
        <f t="shared" si="2"/>
        <v>－</v>
      </c>
      <c r="V156" s="30">
        <f>12363963</f>
        <v>12363963</v>
      </c>
      <c r="W156" s="30" t="str">
        <f t="shared" si="3"/>
        <v>－</v>
      </c>
      <c r="X156" s="34">
        <f>18</f>
        <v>18</v>
      </c>
    </row>
    <row r="157" spans="1:24">
      <c r="A157" s="25" t="s">
        <v>1128</v>
      </c>
      <c r="B157" s="25" t="s">
        <v>423</v>
      </c>
      <c r="C157" s="25" t="s">
        <v>424</v>
      </c>
      <c r="D157" s="25" t="s">
        <v>425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2100</f>
        <v>2100</v>
      </c>
      <c r="L157" s="32" t="s">
        <v>1110</v>
      </c>
      <c r="M157" s="31">
        <f>2200</f>
        <v>2200</v>
      </c>
      <c r="N157" s="32" t="s">
        <v>1112</v>
      </c>
      <c r="O157" s="31">
        <f>2084</f>
        <v>2084</v>
      </c>
      <c r="P157" s="32" t="s">
        <v>1113</v>
      </c>
      <c r="Q157" s="31">
        <f>2141.5</f>
        <v>2141.5</v>
      </c>
      <c r="R157" s="32" t="s">
        <v>1111</v>
      </c>
      <c r="S157" s="33">
        <f>2137.76</f>
        <v>2137.7600000000002</v>
      </c>
      <c r="T157" s="30">
        <f>3140</f>
        <v>3140</v>
      </c>
      <c r="U157" s="30" t="str">
        <f t="shared" si="2"/>
        <v>－</v>
      </c>
      <c r="V157" s="30">
        <f>6718775</f>
        <v>6718775</v>
      </c>
      <c r="W157" s="30" t="str">
        <f t="shared" si="3"/>
        <v>－</v>
      </c>
      <c r="X157" s="34">
        <f>17</f>
        <v>17</v>
      </c>
    </row>
    <row r="158" spans="1:24">
      <c r="A158" s="25" t="s">
        <v>1128</v>
      </c>
      <c r="B158" s="25" t="s">
        <v>426</v>
      </c>
      <c r="C158" s="25" t="s">
        <v>427</v>
      </c>
      <c r="D158" s="25" t="s">
        <v>428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10</v>
      </c>
      <c r="K158" s="31">
        <f>901.2</f>
        <v>901.2</v>
      </c>
      <c r="L158" s="32" t="s">
        <v>1110</v>
      </c>
      <c r="M158" s="31">
        <f>931.9</f>
        <v>931.9</v>
      </c>
      <c r="N158" s="32" t="s">
        <v>874</v>
      </c>
      <c r="O158" s="31">
        <f>881.7</f>
        <v>881.7</v>
      </c>
      <c r="P158" s="32" t="s">
        <v>1115</v>
      </c>
      <c r="Q158" s="31">
        <f>928.1</f>
        <v>928.1</v>
      </c>
      <c r="R158" s="32" t="s">
        <v>883</v>
      </c>
      <c r="S158" s="33">
        <f>905.49</f>
        <v>905.49</v>
      </c>
      <c r="T158" s="30">
        <f>38650</f>
        <v>38650</v>
      </c>
      <c r="U158" s="30" t="str">
        <f t="shared" si="2"/>
        <v>－</v>
      </c>
      <c r="V158" s="30">
        <f>35058376</f>
        <v>35058376</v>
      </c>
      <c r="W158" s="30" t="str">
        <f t="shared" si="3"/>
        <v>－</v>
      </c>
      <c r="X158" s="34">
        <f>20</f>
        <v>20</v>
      </c>
    </row>
    <row r="159" spans="1:24">
      <c r="A159" s="25" t="s">
        <v>1128</v>
      </c>
      <c r="B159" s="25" t="s">
        <v>429</v>
      </c>
      <c r="C159" s="25" t="s">
        <v>430</v>
      </c>
      <c r="D159" s="25" t="s">
        <v>431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569.8</f>
        <v>569.79999999999995</v>
      </c>
      <c r="L159" s="32" t="s">
        <v>1110</v>
      </c>
      <c r="M159" s="31">
        <f>589.9</f>
        <v>589.9</v>
      </c>
      <c r="N159" s="32" t="s">
        <v>1112</v>
      </c>
      <c r="O159" s="31">
        <f>552.1</f>
        <v>552.1</v>
      </c>
      <c r="P159" s="32" t="s">
        <v>1115</v>
      </c>
      <c r="Q159" s="31">
        <f>588.5</f>
        <v>588.5</v>
      </c>
      <c r="R159" s="32" t="s">
        <v>883</v>
      </c>
      <c r="S159" s="33">
        <f>571.98</f>
        <v>571.98</v>
      </c>
      <c r="T159" s="30">
        <f>108750</f>
        <v>108750</v>
      </c>
      <c r="U159" s="30" t="str">
        <f t="shared" si="2"/>
        <v>－</v>
      </c>
      <c r="V159" s="30">
        <f>62208713</f>
        <v>62208713</v>
      </c>
      <c r="W159" s="30" t="str">
        <f t="shared" si="3"/>
        <v>－</v>
      </c>
      <c r="X159" s="34">
        <f>20</f>
        <v>20</v>
      </c>
    </row>
    <row r="160" spans="1:24">
      <c r="A160" s="25" t="s">
        <v>1128</v>
      </c>
      <c r="B160" s="25" t="s">
        <v>432</v>
      </c>
      <c r="C160" s="25" t="s">
        <v>433</v>
      </c>
      <c r="D160" s="25" t="s">
        <v>434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1302</f>
        <v>1302</v>
      </c>
      <c r="L160" s="32" t="s">
        <v>1110</v>
      </c>
      <c r="M160" s="31">
        <f>1360</f>
        <v>1360</v>
      </c>
      <c r="N160" s="32" t="s">
        <v>1124</v>
      </c>
      <c r="O160" s="31">
        <f>1134</f>
        <v>1134</v>
      </c>
      <c r="P160" s="32" t="s">
        <v>1114</v>
      </c>
      <c r="Q160" s="31">
        <f>1170</f>
        <v>1170</v>
      </c>
      <c r="R160" s="32" t="s">
        <v>883</v>
      </c>
      <c r="S160" s="33">
        <f>1230.15</f>
        <v>1230.1500000000001</v>
      </c>
      <c r="T160" s="30">
        <f>1326948</f>
        <v>1326948</v>
      </c>
      <c r="U160" s="30" t="str">
        <f t="shared" si="2"/>
        <v>－</v>
      </c>
      <c r="V160" s="30">
        <f>1623538430</f>
        <v>1623538430</v>
      </c>
      <c r="W160" s="30" t="str">
        <f t="shared" si="3"/>
        <v>－</v>
      </c>
      <c r="X160" s="34">
        <f>20</f>
        <v>20</v>
      </c>
    </row>
    <row r="161" spans="1:24">
      <c r="A161" s="25" t="s">
        <v>1128</v>
      </c>
      <c r="B161" s="25" t="s">
        <v>435</v>
      </c>
      <c r="C161" s="25" t="s">
        <v>436</v>
      </c>
      <c r="D161" s="25" t="s">
        <v>437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</v>
      </c>
      <c r="K161" s="31">
        <f>1461.5</f>
        <v>1461.5</v>
      </c>
      <c r="L161" s="32" t="s">
        <v>1110</v>
      </c>
      <c r="M161" s="31">
        <f>1575</f>
        <v>1575</v>
      </c>
      <c r="N161" s="32" t="s">
        <v>883</v>
      </c>
      <c r="O161" s="31">
        <f>1418.5</f>
        <v>1418.5</v>
      </c>
      <c r="P161" s="32" t="s">
        <v>684</v>
      </c>
      <c r="Q161" s="31">
        <f>1575</f>
        <v>1575</v>
      </c>
      <c r="R161" s="32" t="s">
        <v>883</v>
      </c>
      <c r="S161" s="33">
        <f>1499.38</f>
        <v>1499.38</v>
      </c>
      <c r="T161" s="30">
        <f>60430</f>
        <v>60430</v>
      </c>
      <c r="U161" s="30" t="str">
        <f t="shared" si="2"/>
        <v>－</v>
      </c>
      <c r="V161" s="30">
        <f>91172990</f>
        <v>91172990</v>
      </c>
      <c r="W161" s="30" t="str">
        <f t="shared" si="3"/>
        <v>－</v>
      </c>
      <c r="X161" s="34">
        <f>20</f>
        <v>20</v>
      </c>
    </row>
    <row r="162" spans="1:24">
      <c r="A162" s="25" t="s">
        <v>1128</v>
      </c>
      <c r="B162" s="25" t="s">
        <v>438</v>
      </c>
      <c r="C162" s="25" t="s">
        <v>439</v>
      </c>
      <c r="D162" s="25" t="s">
        <v>440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</v>
      </c>
      <c r="K162" s="31">
        <f>8300</f>
        <v>8300</v>
      </c>
      <c r="L162" s="32" t="s">
        <v>675</v>
      </c>
      <c r="M162" s="31">
        <f>8850</f>
        <v>8850</v>
      </c>
      <c r="N162" s="32" t="s">
        <v>676</v>
      </c>
      <c r="O162" s="31">
        <f>7835</f>
        <v>7835</v>
      </c>
      <c r="P162" s="32" t="s">
        <v>684</v>
      </c>
      <c r="Q162" s="31">
        <f>8699</f>
        <v>8699</v>
      </c>
      <c r="R162" s="32" t="s">
        <v>883</v>
      </c>
      <c r="S162" s="33">
        <f>8472.06</f>
        <v>8472.06</v>
      </c>
      <c r="T162" s="30">
        <f>4318</f>
        <v>4318</v>
      </c>
      <c r="U162" s="30" t="str">
        <f t="shared" si="2"/>
        <v>－</v>
      </c>
      <c r="V162" s="30">
        <f>36282938</f>
        <v>36282938</v>
      </c>
      <c r="W162" s="30" t="str">
        <f t="shared" si="3"/>
        <v>－</v>
      </c>
      <c r="X162" s="34">
        <f>17</f>
        <v>17</v>
      </c>
    </row>
    <row r="163" spans="1:24">
      <c r="A163" s="25" t="s">
        <v>1128</v>
      </c>
      <c r="B163" s="25" t="s">
        <v>441</v>
      </c>
      <c r="C163" s="25" t="s">
        <v>442</v>
      </c>
      <c r="D163" s="25" t="s">
        <v>443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100</v>
      </c>
      <c r="K163" s="31">
        <f>442.7</f>
        <v>442.7</v>
      </c>
      <c r="L163" s="32" t="s">
        <v>1110</v>
      </c>
      <c r="M163" s="31">
        <f>467</f>
        <v>467</v>
      </c>
      <c r="N163" s="32" t="s">
        <v>679</v>
      </c>
      <c r="O163" s="31">
        <f>435</f>
        <v>435</v>
      </c>
      <c r="P163" s="32" t="s">
        <v>684</v>
      </c>
      <c r="Q163" s="31">
        <f>463.6</f>
        <v>463.6</v>
      </c>
      <c r="R163" s="32" t="s">
        <v>883</v>
      </c>
      <c r="S163" s="33">
        <f>448.45</f>
        <v>448.45</v>
      </c>
      <c r="T163" s="30">
        <f>90700</f>
        <v>90700</v>
      </c>
      <c r="U163" s="30" t="str">
        <f t="shared" si="2"/>
        <v>－</v>
      </c>
      <c r="V163" s="30">
        <f>40626010</f>
        <v>40626010</v>
      </c>
      <c r="W163" s="30" t="str">
        <f t="shared" si="3"/>
        <v>－</v>
      </c>
      <c r="X163" s="34">
        <f>20</f>
        <v>20</v>
      </c>
    </row>
    <row r="164" spans="1:24">
      <c r="A164" s="25" t="s">
        <v>1128</v>
      </c>
      <c r="B164" s="25" t="s">
        <v>444</v>
      </c>
      <c r="C164" s="25" t="s">
        <v>445</v>
      </c>
      <c r="D164" s="25" t="s">
        <v>446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10</v>
      </c>
      <c r="K164" s="31">
        <f>5149</f>
        <v>5149</v>
      </c>
      <c r="L164" s="32" t="s">
        <v>1110</v>
      </c>
      <c r="M164" s="31">
        <f>5576</f>
        <v>5576</v>
      </c>
      <c r="N164" s="32" t="s">
        <v>678</v>
      </c>
      <c r="O164" s="31">
        <f>5086</f>
        <v>5086</v>
      </c>
      <c r="P164" s="32" t="s">
        <v>684</v>
      </c>
      <c r="Q164" s="31">
        <f>5436</f>
        <v>5436</v>
      </c>
      <c r="R164" s="32" t="s">
        <v>883</v>
      </c>
      <c r="S164" s="33">
        <f>5315.35</f>
        <v>5315.35</v>
      </c>
      <c r="T164" s="30">
        <f>28430</f>
        <v>28430</v>
      </c>
      <c r="U164" s="30" t="str">
        <f t="shared" si="2"/>
        <v>－</v>
      </c>
      <c r="V164" s="30">
        <f>153558760</f>
        <v>153558760</v>
      </c>
      <c r="W164" s="30" t="str">
        <f t="shared" si="3"/>
        <v>－</v>
      </c>
      <c r="X164" s="34">
        <f>20</f>
        <v>20</v>
      </c>
    </row>
    <row r="165" spans="1:24">
      <c r="A165" s="25" t="s">
        <v>1128</v>
      </c>
      <c r="B165" s="25" t="s">
        <v>447</v>
      </c>
      <c r="C165" s="25" t="s">
        <v>448</v>
      </c>
      <c r="D165" s="25" t="s">
        <v>449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10</v>
      </c>
      <c r="K165" s="31">
        <f>2450</f>
        <v>2450</v>
      </c>
      <c r="L165" s="32" t="s">
        <v>1110</v>
      </c>
      <c r="M165" s="31">
        <f>2510</f>
        <v>2510</v>
      </c>
      <c r="N165" s="32" t="s">
        <v>1123</v>
      </c>
      <c r="O165" s="31">
        <f>2300</f>
        <v>2300</v>
      </c>
      <c r="P165" s="32" t="s">
        <v>1114</v>
      </c>
      <c r="Q165" s="31">
        <f>2330</f>
        <v>2330</v>
      </c>
      <c r="R165" s="32" t="s">
        <v>883</v>
      </c>
      <c r="S165" s="33">
        <f>2413.2</f>
        <v>2413.1999999999998</v>
      </c>
      <c r="T165" s="30">
        <f>32180</f>
        <v>32180</v>
      </c>
      <c r="U165" s="30" t="str">
        <f t="shared" si="2"/>
        <v>－</v>
      </c>
      <c r="V165" s="30">
        <f>78200640</f>
        <v>78200640</v>
      </c>
      <c r="W165" s="30" t="str">
        <f t="shared" si="3"/>
        <v>－</v>
      </c>
      <c r="X165" s="34">
        <f>20</f>
        <v>20</v>
      </c>
    </row>
    <row r="166" spans="1:24">
      <c r="A166" s="25" t="s">
        <v>1128</v>
      </c>
      <c r="B166" s="25" t="s">
        <v>450</v>
      </c>
      <c r="C166" s="25" t="s">
        <v>451</v>
      </c>
      <c r="D166" s="25" t="s">
        <v>452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</v>
      </c>
      <c r="K166" s="31">
        <f>3585</f>
        <v>3585</v>
      </c>
      <c r="L166" s="32" t="s">
        <v>1110</v>
      </c>
      <c r="M166" s="31">
        <f>3590</f>
        <v>3590</v>
      </c>
      <c r="N166" s="32" t="s">
        <v>1110</v>
      </c>
      <c r="O166" s="31">
        <f>3235</f>
        <v>3235</v>
      </c>
      <c r="P166" s="32" t="s">
        <v>1113</v>
      </c>
      <c r="Q166" s="31">
        <f>3515</f>
        <v>3515</v>
      </c>
      <c r="R166" s="32" t="s">
        <v>883</v>
      </c>
      <c r="S166" s="33">
        <f>3396.5</f>
        <v>3396.5</v>
      </c>
      <c r="T166" s="30">
        <f>254781</f>
        <v>254781</v>
      </c>
      <c r="U166" s="30" t="str">
        <f t="shared" si="2"/>
        <v>－</v>
      </c>
      <c r="V166" s="30">
        <f>865148775</f>
        <v>865148775</v>
      </c>
      <c r="W166" s="30" t="str">
        <f t="shared" si="3"/>
        <v>－</v>
      </c>
      <c r="X166" s="34">
        <f>20</f>
        <v>20</v>
      </c>
    </row>
    <row r="167" spans="1:24">
      <c r="A167" s="25" t="s">
        <v>1128</v>
      </c>
      <c r="B167" s="25" t="s">
        <v>453</v>
      </c>
      <c r="C167" s="25" t="s">
        <v>454</v>
      </c>
      <c r="D167" s="25" t="s">
        <v>455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</v>
      </c>
      <c r="K167" s="31">
        <f>3230</f>
        <v>3230</v>
      </c>
      <c r="L167" s="32" t="s">
        <v>1110</v>
      </c>
      <c r="M167" s="31">
        <f>3370</f>
        <v>3370</v>
      </c>
      <c r="N167" s="32" t="s">
        <v>883</v>
      </c>
      <c r="O167" s="31">
        <f>3150</f>
        <v>3150</v>
      </c>
      <c r="P167" s="32" t="s">
        <v>675</v>
      </c>
      <c r="Q167" s="31">
        <f>3345</f>
        <v>3345</v>
      </c>
      <c r="R167" s="32" t="s">
        <v>883</v>
      </c>
      <c r="S167" s="33">
        <f>3253.75</f>
        <v>3253.75</v>
      </c>
      <c r="T167" s="30">
        <f>24024</f>
        <v>24024</v>
      </c>
      <c r="U167" s="30" t="str">
        <f t="shared" si="2"/>
        <v>－</v>
      </c>
      <c r="V167" s="30">
        <f>78185385</f>
        <v>78185385</v>
      </c>
      <c r="W167" s="30" t="str">
        <f t="shared" si="3"/>
        <v>－</v>
      </c>
      <c r="X167" s="34">
        <f>20</f>
        <v>20</v>
      </c>
    </row>
    <row r="168" spans="1:24">
      <c r="A168" s="25" t="s">
        <v>1128</v>
      </c>
      <c r="B168" s="25" t="s">
        <v>456</v>
      </c>
      <c r="C168" s="25" t="s">
        <v>457</v>
      </c>
      <c r="D168" s="25" t="s">
        <v>458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4121</f>
        <v>4121</v>
      </c>
      <c r="L168" s="32" t="s">
        <v>1110</v>
      </c>
      <c r="M168" s="31">
        <f>4409</f>
        <v>4409</v>
      </c>
      <c r="N168" s="32" t="s">
        <v>1112</v>
      </c>
      <c r="O168" s="31">
        <f>4081</f>
        <v>4081</v>
      </c>
      <c r="P168" s="32" t="s">
        <v>1115</v>
      </c>
      <c r="Q168" s="31">
        <f>4268</f>
        <v>4268</v>
      </c>
      <c r="R168" s="32" t="s">
        <v>883</v>
      </c>
      <c r="S168" s="33">
        <f>4238.05</f>
        <v>4238.05</v>
      </c>
      <c r="T168" s="30">
        <f>19330</f>
        <v>19330</v>
      </c>
      <c r="U168" s="30" t="str">
        <f t="shared" si="2"/>
        <v>－</v>
      </c>
      <c r="V168" s="30">
        <f>82080820</f>
        <v>82080820</v>
      </c>
      <c r="W168" s="30" t="str">
        <f t="shared" si="3"/>
        <v>－</v>
      </c>
      <c r="X168" s="34">
        <f>20</f>
        <v>20</v>
      </c>
    </row>
    <row r="169" spans="1:24">
      <c r="A169" s="25" t="s">
        <v>1128</v>
      </c>
      <c r="B169" s="25" t="s">
        <v>459</v>
      </c>
      <c r="C169" s="25" t="s">
        <v>460</v>
      </c>
      <c r="D169" s="25" t="s">
        <v>979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2885</f>
        <v>2885</v>
      </c>
      <c r="L169" s="32" t="s">
        <v>1110</v>
      </c>
      <c r="M169" s="31">
        <f>3048</f>
        <v>3048</v>
      </c>
      <c r="N169" s="32" t="s">
        <v>1114</v>
      </c>
      <c r="O169" s="31">
        <f>2817</f>
        <v>2817</v>
      </c>
      <c r="P169" s="32" t="s">
        <v>677</v>
      </c>
      <c r="Q169" s="31">
        <f>3048</f>
        <v>3048</v>
      </c>
      <c r="R169" s="32" t="s">
        <v>883</v>
      </c>
      <c r="S169" s="33">
        <f>2944.85</f>
        <v>2944.85</v>
      </c>
      <c r="T169" s="30">
        <f>845770</f>
        <v>845770</v>
      </c>
      <c r="U169" s="30">
        <f>559940</f>
        <v>559940</v>
      </c>
      <c r="V169" s="30">
        <f>2495060691</f>
        <v>2495060691</v>
      </c>
      <c r="W169" s="30">
        <f>1654209501</f>
        <v>1654209501</v>
      </c>
      <c r="X169" s="34">
        <f>20</f>
        <v>20</v>
      </c>
    </row>
    <row r="170" spans="1:24">
      <c r="A170" s="25" t="s">
        <v>1128</v>
      </c>
      <c r="B170" s="25" t="s">
        <v>461</v>
      </c>
      <c r="C170" s="25" t="s">
        <v>980</v>
      </c>
      <c r="D170" s="25" t="s">
        <v>981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401.7</f>
        <v>401.7</v>
      </c>
      <c r="L170" s="32" t="s">
        <v>1110</v>
      </c>
      <c r="M170" s="31">
        <f>434.3</f>
        <v>434.3</v>
      </c>
      <c r="N170" s="32" t="s">
        <v>883</v>
      </c>
      <c r="O170" s="31">
        <f>391</f>
        <v>391</v>
      </c>
      <c r="P170" s="32" t="s">
        <v>684</v>
      </c>
      <c r="Q170" s="31">
        <f>433.6</f>
        <v>433.6</v>
      </c>
      <c r="R170" s="32" t="s">
        <v>883</v>
      </c>
      <c r="S170" s="33">
        <f>414.04</f>
        <v>414.04</v>
      </c>
      <c r="T170" s="30">
        <f>28592920</f>
        <v>28592920</v>
      </c>
      <c r="U170" s="30">
        <f>12000670</f>
        <v>12000670</v>
      </c>
      <c r="V170" s="30">
        <f>11838780598</f>
        <v>11838780598</v>
      </c>
      <c r="W170" s="30">
        <f>4875887318</f>
        <v>4875887318</v>
      </c>
      <c r="X170" s="34">
        <f>20</f>
        <v>20</v>
      </c>
    </row>
    <row r="171" spans="1:24">
      <c r="A171" s="25" t="s">
        <v>1128</v>
      </c>
      <c r="B171" s="25" t="s">
        <v>1132</v>
      </c>
      <c r="C171" s="25" t="s">
        <v>1131</v>
      </c>
      <c r="D171" s="25" t="s">
        <v>1130</v>
      </c>
      <c r="E171" s="26" t="s">
        <v>672</v>
      </c>
      <c r="F171" s="27" t="s">
        <v>673</v>
      </c>
      <c r="G171" s="28" t="s">
        <v>1129</v>
      </c>
      <c r="H171" s="29"/>
      <c r="I171" s="29" t="s">
        <v>44</v>
      </c>
      <c r="J171" s="30">
        <v>1</v>
      </c>
      <c r="K171" s="31">
        <f>2017</f>
        <v>2017</v>
      </c>
      <c r="L171" s="32" t="s">
        <v>679</v>
      </c>
      <c r="M171" s="31">
        <f>2030</f>
        <v>2030</v>
      </c>
      <c r="N171" s="32" t="s">
        <v>679</v>
      </c>
      <c r="O171" s="31">
        <f>1973</f>
        <v>1973</v>
      </c>
      <c r="P171" s="32" t="s">
        <v>679</v>
      </c>
      <c r="Q171" s="31">
        <f>2000</f>
        <v>2000</v>
      </c>
      <c r="R171" s="32" t="s">
        <v>883</v>
      </c>
      <c r="S171" s="33">
        <f>1994.4</f>
        <v>1994.4</v>
      </c>
      <c r="T171" s="30">
        <f>36418</f>
        <v>36418</v>
      </c>
      <c r="U171" s="30" t="str">
        <f>"－"</f>
        <v>－</v>
      </c>
      <c r="V171" s="30">
        <f>72760135</f>
        <v>72760135</v>
      </c>
      <c r="W171" s="30" t="str">
        <f>"－"</f>
        <v>－</v>
      </c>
      <c r="X171" s="34">
        <f>5</f>
        <v>5</v>
      </c>
    </row>
    <row r="172" spans="1:24">
      <c r="A172" s="25" t="s">
        <v>1128</v>
      </c>
      <c r="B172" s="25" t="s">
        <v>1054</v>
      </c>
      <c r="C172" s="25" t="s">
        <v>1055</v>
      </c>
      <c r="D172" s="25" t="s">
        <v>1056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549.1</f>
        <v>549.1</v>
      </c>
      <c r="L172" s="32" t="s">
        <v>1110</v>
      </c>
      <c r="M172" s="31">
        <f>580</f>
        <v>580</v>
      </c>
      <c r="N172" s="32" t="s">
        <v>883</v>
      </c>
      <c r="O172" s="31">
        <f>536.8</f>
        <v>536.79999999999995</v>
      </c>
      <c r="P172" s="32" t="s">
        <v>677</v>
      </c>
      <c r="Q172" s="31">
        <f>574.4</f>
        <v>574.4</v>
      </c>
      <c r="R172" s="32" t="s">
        <v>883</v>
      </c>
      <c r="S172" s="33">
        <f>558.57</f>
        <v>558.57000000000005</v>
      </c>
      <c r="T172" s="30">
        <f>849220</f>
        <v>849220</v>
      </c>
      <c r="U172" s="30">
        <f>287900</f>
        <v>287900</v>
      </c>
      <c r="V172" s="30">
        <f>470734633</f>
        <v>470734633</v>
      </c>
      <c r="W172" s="30">
        <f>158317150</f>
        <v>158317150</v>
      </c>
      <c r="X172" s="34">
        <f>20</f>
        <v>20</v>
      </c>
    </row>
    <row r="173" spans="1:24">
      <c r="A173" s="25" t="s">
        <v>1128</v>
      </c>
      <c r="B173" s="25" t="s">
        <v>1083</v>
      </c>
      <c r="C173" s="25" t="s">
        <v>1084</v>
      </c>
      <c r="D173" s="25" t="s">
        <v>1085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10</v>
      </c>
      <c r="K173" s="31">
        <f>205</f>
        <v>205</v>
      </c>
      <c r="L173" s="32" t="s">
        <v>1110</v>
      </c>
      <c r="M173" s="31">
        <f>208.9</f>
        <v>208.9</v>
      </c>
      <c r="N173" s="32" t="s">
        <v>1112</v>
      </c>
      <c r="O173" s="31">
        <f>200.1</f>
        <v>200.1</v>
      </c>
      <c r="P173" s="32" t="s">
        <v>677</v>
      </c>
      <c r="Q173" s="31">
        <f>207.4</f>
        <v>207.4</v>
      </c>
      <c r="R173" s="32" t="s">
        <v>883</v>
      </c>
      <c r="S173" s="33">
        <f>204.9</f>
        <v>204.9</v>
      </c>
      <c r="T173" s="30">
        <f>2400450</f>
        <v>2400450</v>
      </c>
      <c r="U173" s="30" t="str">
        <f>"－"</f>
        <v>－</v>
      </c>
      <c r="V173" s="30">
        <f>492073745</f>
        <v>492073745</v>
      </c>
      <c r="W173" s="30" t="str">
        <f>"－"</f>
        <v>－</v>
      </c>
      <c r="X173" s="34">
        <f>20</f>
        <v>20</v>
      </c>
    </row>
    <row r="174" spans="1:24">
      <c r="A174" s="25" t="s">
        <v>1128</v>
      </c>
      <c r="B174" s="25" t="s">
        <v>1087</v>
      </c>
      <c r="C174" s="25" t="s">
        <v>1088</v>
      </c>
      <c r="D174" s="25" t="s">
        <v>1089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10</v>
      </c>
      <c r="K174" s="31">
        <f>210.4</f>
        <v>210.4</v>
      </c>
      <c r="L174" s="32" t="s">
        <v>1110</v>
      </c>
      <c r="M174" s="31">
        <f>227.7</f>
        <v>227.7</v>
      </c>
      <c r="N174" s="32" t="s">
        <v>883</v>
      </c>
      <c r="O174" s="31">
        <f>208.6</f>
        <v>208.6</v>
      </c>
      <c r="P174" s="32" t="s">
        <v>684</v>
      </c>
      <c r="Q174" s="31">
        <f>224.5</f>
        <v>224.5</v>
      </c>
      <c r="R174" s="32" t="s">
        <v>883</v>
      </c>
      <c r="S174" s="33">
        <f>214.88</f>
        <v>214.88</v>
      </c>
      <c r="T174" s="30">
        <f>4372840</f>
        <v>4372840</v>
      </c>
      <c r="U174" s="30">
        <f>50</f>
        <v>50</v>
      </c>
      <c r="V174" s="30">
        <f>935211921</f>
        <v>935211921</v>
      </c>
      <c r="W174" s="30">
        <f>9905</f>
        <v>9905</v>
      </c>
      <c r="X174" s="34">
        <f>20</f>
        <v>20</v>
      </c>
    </row>
    <row r="175" spans="1:24">
      <c r="A175" s="25" t="s">
        <v>1128</v>
      </c>
      <c r="B175" s="25" t="s">
        <v>1090</v>
      </c>
      <c r="C175" s="25" t="s">
        <v>1091</v>
      </c>
      <c r="D175" s="25" t="s">
        <v>1092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10</v>
      </c>
      <c r="K175" s="31">
        <f>215.1</f>
        <v>215.1</v>
      </c>
      <c r="L175" s="32" t="s">
        <v>1110</v>
      </c>
      <c r="M175" s="31">
        <f>236.7</f>
        <v>236.7</v>
      </c>
      <c r="N175" s="32" t="s">
        <v>883</v>
      </c>
      <c r="O175" s="31">
        <f>211.2</f>
        <v>211.2</v>
      </c>
      <c r="P175" s="32" t="s">
        <v>684</v>
      </c>
      <c r="Q175" s="31">
        <f>223.8</f>
        <v>223.8</v>
      </c>
      <c r="R175" s="32" t="s">
        <v>883</v>
      </c>
      <c r="S175" s="33">
        <f>217.53</f>
        <v>217.53</v>
      </c>
      <c r="T175" s="30">
        <f>14555850</f>
        <v>14555850</v>
      </c>
      <c r="U175" s="30">
        <f>860</f>
        <v>860</v>
      </c>
      <c r="V175" s="30">
        <f>3144925476</f>
        <v>3144925476</v>
      </c>
      <c r="W175" s="30">
        <f>188898</f>
        <v>188898</v>
      </c>
      <c r="X175" s="34">
        <f>20</f>
        <v>20</v>
      </c>
    </row>
    <row r="176" spans="1:24">
      <c r="A176" s="25" t="s">
        <v>1128</v>
      </c>
      <c r="B176" s="25" t="s">
        <v>1093</v>
      </c>
      <c r="C176" s="25" t="s">
        <v>1094</v>
      </c>
      <c r="D176" s="25" t="s">
        <v>1095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2012</f>
        <v>2012</v>
      </c>
      <c r="L176" s="32" t="s">
        <v>1110</v>
      </c>
      <c r="M176" s="31">
        <f>2080</f>
        <v>2080</v>
      </c>
      <c r="N176" s="32" t="s">
        <v>883</v>
      </c>
      <c r="O176" s="31">
        <f>1988</f>
        <v>1988</v>
      </c>
      <c r="P176" s="32" t="s">
        <v>875</v>
      </c>
      <c r="Q176" s="31">
        <f>2047</f>
        <v>2047</v>
      </c>
      <c r="R176" s="32" t="s">
        <v>883</v>
      </c>
      <c r="S176" s="33">
        <f>2020.6</f>
        <v>2020.6</v>
      </c>
      <c r="T176" s="30">
        <f>129458</f>
        <v>129458</v>
      </c>
      <c r="U176" s="30" t="str">
        <f>"－"</f>
        <v>－</v>
      </c>
      <c r="V176" s="30">
        <f>262242460</f>
        <v>262242460</v>
      </c>
      <c r="W176" s="30" t="str">
        <f>"－"</f>
        <v>－</v>
      </c>
      <c r="X176" s="34">
        <f>20</f>
        <v>20</v>
      </c>
    </row>
    <row r="177" spans="1:24">
      <c r="A177" s="25" t="s">
        <v>1128</v>
      </c>
      <c r="B177" s="25" t="s">
        <v>1096</v>
      </c>
      <c r="C177" s="25" t="s">
        <v>1097</v>
      </c>
      <c r="D177" s="25" t="s">
        <v>1098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1963</f>
        <v>1963</v>
      </c>
      <c r="L177" s="32" t="s">
        <v>1110</v>
      </c>
      <c r="M177" s="31">
        <f>1992</f>
        <v>1992</v>
      </c>
      <c r="N177" s="32" t="s">
        <v>684</v>
      </c>
      <c r="O177" s="31">
        <f>1951</f>
        <v>1951</v>
      </c>
      <c r="P177" s="32" t="s">
        <v>680</v>
      </c>
      <c r="Q177" s="31">
        <f>1972</f>
        <v>1972</v>
      </c>
      <c r="R177" s="32" t="s">
        <v>883</v>
      </c>
      <c r="S177" s="33">
        <f>1970.05</f>
        <v>1970.05</v>
      </c>
      <c r="T177" s="30">
        <f>2009726</f>
        <v>2009726</v>
      </c>
      <c r="U177" s="30">
        <f>1500000</f>
        <v>1500000</v>
      </c>
      <c r="V177" s="30">
        <f>3954006739</f>
        <v>3954006739</v>
      </c>
      <c r="W177" s="30">
        <f>2948900000</f>
        <v>2948900000</v>
      </c>
      <c r="X177" s="34">
        <f>20</f>
        <v>20</v>
      </c>
    </row>
    <row r="178" spans="1:24">
      <c r="A178" s="25" t="s">
        <v>1128</v>
      </c>
      <c r="B178" s="25" t="s">
        <v>1099</v>
      </c>
      <c r="C178" s="25" t="s">
        <v>1100</v>
      </c>
      <c r="D178" s="25" t="s">
        <v>1101</v>
      </c>
      <c r="E178" s="26" t="s">
        <v>43</v>
      </c>
      <c r="F178" s="27" t="s">
        <v>43</v>
      </c>
      <c r="G178" s="28" t="s">
        <v>43</v>
      </c>
      <c r="H178" s="29"/>
      <c r="I178" s="29" t="s">
        <v>44</v>
      </c>
      <c r="J178" s="30">
        <v>1</v>
      </c>
      <c r="K178" s="31">
        <f>1047</f>
        <v>1047</v>
      </c>
      <c r="L178" s="32" t="s">
        <v>1110</v>
      </c>
      <c r="M178" s="31">
        <f>1088</f>
        <v>1088</v>
      </c>
      <c r="N178" s="32" t="s">
        <v>874</v>
      </c>
      <c r="O178" s="31">
        <f>1019</f>
        <v>1019</v>
      </c>
      <c r="P178" s="32" t="s">
        <v>677</v>
      </c>
      <c r="Q178" s="31">
        <f>1074</f>
        <v>1074</v>
      </c>
      <c r="R178" s="32" t="s">
        <v>883</v>
      </c>
      <c r="S178" s="33">
        <f>1058.35</f>
        <v>1058.3499999999999</v>
      </c>
      <c r="T178" s="30">
        <f>7034793</f>
        <v>7034793</v>
      </c>
      <c r="U178" s="30">
        <f>559500</f>
        <v>559500</v>
      </c>
      <c r="V178" s="30">
        <f>7431372919</f>
        <v>7431372919</v>
      </c>
      <c r="W178" s="30">
        <f>592278151</f>
        <v>592278151</v>
      </c>
      <c r="X178" s="34">
        <f>20</f>
        <v>20</v>
      </c>
    </row>
    <row r="179" spans="1:24">
      <c r="A179" s="25" t="s">
        <v>1128</v>
      </c>
      <c r="B179" s="25" t="s">
        <v>1103</v>
      </c>
      <c r="C179" s="25" t="s">
        <v>1104</v>
      </c>
      <c r="D179" s="25" t="s">
        <v>1105</v>
      </c>
      <c r="E179" s="26" t="s">
        <v>43</v>
      </c>
      <c r="F179" s="27" t="s">
        <v>43</v>
      </c>
      <c r="G179" s="28" t="s">
        <v>43</v>
      </c>
      <c r="H179" s="29"/>
      <c r="I179" s="29" t="s">
        <v>44</v>
      </c>
      <c r="J179" s="30">
        <v>1</v>
      </c>
      <c r="K179" s="31">
        <f>1039</f>
        <v>1039</v>
      </c>
      <c r="L179" s="32" t="s">
        <v>1110</v>
      </c>
      <c r="M179" s="31">
        <f>1061</f>
        <v>1061</v>
      </c>
      <c r="N179" s="32" t="s">
        <v>674</v>
      </c>
      <c r="O179" s="31">
        <f>1017</f>
        <v>1017</v>
      </c>
      <c r="P179" s="32" t="s">
        <v>678</v>
      </c>
      <c r="Q179" s="31">
        <f>1056</f>
        <v>1056</v>
      </c>
      <c r="R179" s="32" t="s">
        <v>883</v>
      </c>
      <c r="S179" s="33">
        <f>1037.3</f>
        <v>1037.3</v>
      </c>
      <c r="T179" s="30">
        <f>38220</f>
        <v>38220</v>
      </c>
      <c r="U179" s="30" t="str">
        <f>"－"</f>
        <v>－</v>
      </c>
      <c r="V179" s="30">
        <f>39770771</f>
        <v>39770771</v>
      </c>
      <c r="W179" s="30" t="str">
        <f>"－"</f>
        <v>－</v>
      </c>
      <c r="X179" s="34">
        <f>20</f>
        <v>20</v>
      </c>
    </row>
    <row r="180" spans="1:24">
      <c r="A180" s="25" t="s">
        <v>1128</v>
      </c>
      <c r="B180" s="25" t="s">
        <v>1106</v>
      </c>
      <c r="C180" s="25" t="s">
        <v>1107</v>
      </c>
      <c r="D180" s="25" t="s">
        <v>1108</v>
      </c>
      <c r="E180" s="26" t="s">
        <v>43</v>
      </c>
      <c r="F180" s="27" t="s">
        <v>43</v>
      </c>
      <c r="G180" s="28" t="s">
        <v>43</v>
      </c>
      <c r="H180" s="29"/>
      <c r="I180" s="29" t="s">
        <v>44</v>
      </c>
      <c r="J180" s="30">
        <v>1</v>
      </c>
      <c r="K180" s="31">
        <f>1035</f>
        <v>1035</v>
      </c>
      <c r="L180" s="32" t="s">
        <v>1110</v>
      </c>
      <c r="M180" s="31">
        <f>1064</f>
        <v>1064</v>
      </c>
      <c r="N180" s="32" t="s">
        <v>874</v>
      </c>
      <c r="O180" s="31">
        <f>1012</f>
        <v>1012</v>
      </c>
      <c r="P180" s="32" t="s">
        <v>677</v>
      </c>
      <c r="Q180" s="31">
        <f>1046</f>
        <v>1046</v>
      </c>
      <c r="R180" s="32" t="s">
        <v>883</v>
      </c>
      <c r="S180" s="33">
        <f>1035.7</f>
        <v>1035.7</v>
      </c>
      <c r="T180" s="30">
        <f>214381</f>
        <v>214381</v>
      </c>
      <c r="U180" s="30">
        <f>5</f>
        <v>5</v>
      </c>
      <c r="V180" s="30">
        <f>220639009</f>
        <v>220639009</v>
      </c>
      <c r="W180" s="30">
        <f>4805</f>
        <v>4805</v>
      </c>
      <c r="X180" s="34">
        <f>20</f>
        <v>20</v>
      </c>
    </row>
    <row r="181" spans="1:24">
      <c r="A181" s="25" t="s">
        <v>1128</v>
      </c>
      <c r="B181" s="25" t="s">
        <v>462</v>
      </c>
      <c r="C181" s="25" t="s">
        <v>463</v>
      </c>
      <c r="D181" s="25" t="s">
        <v>464</v>
      </c>
      <c r="E181" s="26" t="s">
        <v>43</v>
      </c>
      <c r="F181" s="27" t="s">
        <v>43</v>
      </c>
      <c r="G181" s="28" t="s">
        <v>43</v>
      </c>
      <c r="H181" s="29"/>
      <c r="I181" s="29" t="s">
        <v>465</v>
      </c>
      <c r="J181" s="30">
        <v>1</v>
      </c>
      <c r="K181" s="31">
        <f>3980</f>
        <v>3980</v>
      </c>
      <c r="L181" s="32" t="s">
        <v>1110</v>
      </c>
      <c r="M181" s="31">
        <f>4300</f>
        <v>4300</v>
      </c>
      <c r="N181" s="32" t="s">
        <v>1123</v>
      </c>
      <c r="O181" s="31">
        <f>3810</f>
        <v>3810</v>
      </c>
      <c r="P181" s="32" t="s">
        <v>674</v>
      </c>
      <c r="Q181" s="31">
        <f>4085</f>
        <v>4085</v>
      </c>
      <c r="R181" s="32" t="s">
        <v>883</v>
      </c>
      <c r="S181" s="33">
        <f>4048</f>
        <v>4048</v>
      </c>
      <c r="T181" s="30">
        <f>133131</f>
        <v>133131</v>
      </c>
      <c r="U181" s="30">
        <f>2</f>
        <v>2</v>
      </c>
      <c r="V181" s="30">
        <f>537979830</f>
        <v>537979830</v>
      </c>
      <c r="W181" s="30">
        <f>8010</f>
        <v>8010</v>
      </c>
      <c r="X181" s="34">
        <f>20</f>
        <v>20</v>
      </c>
    </row>
    <row r="182" spans="1:24">
      <c r="A182" s="25" t="s">
        <v>1128</v>
      </c>
      <c r="B182" s="25" t="s">
        <v>466</v>
      </c>
      <c r="C182" s="25" t="s">
        <v>467</v>
      </c>
      <c r="D182" s="25" t="s">
        <v>468</v>
      </c>
      <c r="E182" s="26" t="s">
        <v>43</v>
      </c>
      <c r="F182" s="27" t="s">
        <v>43</v>
      </c>
      <c r="G182" s="28" t="s">
        <v>43</v>
      </c>
      <c r="H182" s="29"/>
      <c r="I182" s="29" t="s">
        <v>465</v>
      </c>
      <c r="J182" s="30">
        <v>1</v>
      </c>
      <c r="K182" s="31">
        <f>9951</f>
        <v>9951</v>
      </c>
      <c r="L182" s="32" t="s">
        <v>1110</v>
      </c>
      <c r="M182" s="31">
        <f>10250</f>
        <v>10250</v>
      </c>
      <c r="N182" s="32" t="s">
        <v>674</v>
      </c>
      <c r="O182" s="31">
        <f>9330</f>
        <v>9330</v>
      </c>
      <c r="P182" s="32" t="s">
        <v>1123</v>
      </c>
      <c r="Q182" s="31">
        <f>9900</f>
        <v>9900</v>
      </c>
      <c r="R182" s="32" t="s">
        <v>883</v>
      </c>
      <c r="S182" s="33">
        <f>9841.35</f>
        <v>9841.35</v>
      </c>
      <c r="T182" s="30">
        <f>9202</f>
        <v>9202</v>
      </c>
      <c r="U182" s="30" t="str">
        <f>"－"</f>
        <v>－</v>
      </c>
      <c r="V182" s="30">
        <f>91114395</f>
        <v>91114395</v>
      </c>
      <c r="W182" s="30" t="str">
        <f>"－"</f>
        <v>－</v>
      </c>
      <c r="X182" s="34">
        <f>20</f>
        <v>20</v>
      </c>
    </row>
    <row r="183" spans="1:24">
      <c r="A183" s="25" t="s">
        <v>1128</v>
      </c>
      <c r="B183" s="25" t="s">
        <v>469</v>
      </c>
      <c r="C183" s="25" t="s">
        <v>470</v>
      </c>
      <c r="D183" s="25" t="s">
        <v>471</v>
      </c>
      <c r="E183" s="26" t="s">
        <v>43</v>
      </c>
      <c r="F183" s="27" t="s">
        <v>43</v>
      </c>
      <c r="G183" s="28" t="s">
        <v>43</v>
      </c>
      <c r="H183" s="29"/>
      <c r="I183" s="29" t="s">
        <v>465</v>
      </c>
      <c r="J183" s="30">
        <v>1</v>
      </c>
      <c r="K183" s="31">
        <f>13535</f>
        <v>13535</v>
      </c>
      <c r="L183" s="32" t="s">
        <v>1110</v>
      </c>
      <c r="M183" s="31">
        <f>15100</f>
        <v>15100</v>
      </c>
      <c r="N183" s="32" t="s">
        <v>1112</v>
      </c>
      <c r="O183" s="31">
        <f>13205</f>
        <v>13205</v>
      </c>
      <c r="P183" s="32" t="s">
        <v>1115</v>
      </c>
      <c r="Q183" s="31">
        <f>14700</f>
        <v>14700</v>
      </c>
      <c r="R183" s="32" t="s">
        <v>883</v>
      </c>
      <c r="S183" s="33">
        <f>14081.47</f>
        <v>14081.47</v>
      </c>
      <c r="T183" s="30">
        <f>1508</f>
        <v>1508</v>
      </c>
      <c r="U183" s="30" t="str">
        <f>"－"</f>
        <v>－</v>
      </c>
      <c r="V183" s="30">
        <f>21107745</f>
        <v>21107745</v>
      </c>
      <c r="W183" s="30" t="str">
        <f>"－"</f>
        <v>－</v>
      </c>
      <c r="X183" s="34">
        <f>17</f>
        <v>17</v>
      </c>
    </row>
    <row r="184" spans="1:24">
      <c r="A184" s="25" t="s">
        <v>1128</v>
      </c>
      <c r="B184" s="25" t="s">
        <v>472</v>
      </c>
      <c r="C184" s="25" t="s">
        <v>473</v>
      </c>
      <c r="D184" s="25" t="s">
        <v>474</v>
      </c>
      <c r="E184" s="26" t="s">
        <v>43</v>
      </c>
      <c r="F184" s="27" t="s">
        <v>43</v>
      </c>
      <c r="G184" s="28" t="s">
        <v>43</v>
      </c>
      <c r="H184" s="29"/>
      <c r="I184" s="29" t="s">
        <v>465</v>
      </c>
      <c r="J184" s="30">
        <v>1</v>
      </c>
      <c r="K184" s="31">
        <f>7812</f>
        <v>7812</v>
      </c>
      <c r="L184" s="32" t="s">
        <v>1110</v>
      </c>
      <c r="M184" s="31">
        <f>7850</f>
        <v>7850</v>
      </c>
      <c r="N184" s="32" t="s">
        <v>1110</v>
      </c>
      <c r="O184" s="31">
        <f>7331</f>
        <v>7331</v>
      </c>
      <c r="P184" s="32" t="s">
        <v>883</v>
      </c>
      <c r="Q184" s="31">
        <f>7400</f>
        <v>7400</v>
      </c>
      <c r="R184" s="32" t="s">
        <v>883</v>
      </c>
      <c r="S184" s="33">
        <f>7645.5</f>
        <v>7645.5</v>
      </c>
      <c r="T184" s="30">
        <f>6657</f>
        <v>6657</v>
      </c>
      <c r="U184" s="30" t="str">
        <f>"－"</f>
        <v>－</v>
      </c>
      <c r="V184" s="30">
        <f>50659956</f>
        <v>50659956</v>
      </c>
      <c r="W184" s="30" t="str">
        <f>"－"</f>
        <v>－</v>
      </c>
      <c r="X184" s="34">
        <f>20</f>
        <v>20</v>
      </c>
    </row>
    <row r="185" spans="1:24">
      <c r="A185" s="25" t="s">
        <v>1128</v>
      </c>
      <c r="B185" s="25" t="s">
        <v>475</v>
      </c>
      <c r="C185" s="25" t="s">
        <v>476</v>
      </c>
      <c r="D185" s="25" t="s">
        <v>477</v>
      </c>
      <c r="E185" s="26" t="s">
        <v>43</v>
      </c>
      <c r="F185" s="27" t="s">
        <v>43</v>
      </c>
      <c r="G185" s="28" t="s">
        <v>43</v>
      </c>
      <c r="H185" s="29"/>
      <c r="I185" s="29" t="s">
        <v>465</v>
      </c>
      <c r="J185" s="30">
        <v>1</v>
      </c>
      <c r="K185" s="31">
        <f>40150</f>
        <v>40150</v>
      </c>
      <c r="L185" s="32" t="s">
        <v>1110</v>
      </c>
      <c r="M185" s="31">
        <f>50320</f>
        <v>50320</v>
      </c>
      <c r="N185" s="32" t="s">
        <v>883</v>
      </c>
      <c r="O185" s="31">
        <f>40150</f>
        <v>40150</v>
      </c>
      <c r="P185" s="32" t="s">
        <v>1110</v>
      </c>
      <c r="Q185" s="31">
        <f>49710</f>
        <v>49710</v>
      </c>
      <c r="R185" s="32" t="s">
        <v>883</v>
      </c>
      <c r="S185" s="33">
        <f>45034</f>
        <v>45034</v>
      </c>
      <c r="T185" s="30">
        <f>67481</f>
        <v>67481</v>
      </c>
      <c r="U185" s="30">
        <f>34</f>
        <v>34</v>
      </c>
      <c r="V185" s="30">
        <f>3054004850</f>
        <v>3054004850</v>
      </c>
      <c r="W185" s="30">
        <f>1511080</f>
        <v>1511080</v>
      </c>
      <c r="X185" s="34">
        <f>20</f>
        <v>20</v>
      </c>
    </row>
    <row r="186" spans="1:24">
      <c r="A186" s="25" t="s">
        <v>1128</v>
      </c>
      <c r="B186" s="25" t="s">
        <v>478</v>
      </c>
      <c r="C186" s="25" t="s">
        <v>479</v>
      </c>
      <c r="D186" s="25" t="s">
        <v>480</v>
      </c>
      <c r="E186" s="26" t="s">
        <v>43</v>
      </c>
      <c r="F186" s="27" t="s">
        <v>43</v>
      </c>
      <c r="G186" s="28" t="s">
        <v>43</v>
      </c>
      <c r="H186" s="29"/>
      <c r="I186" s="29" t="s">
        <v>465</v>
      </c>
      <c r="J186" s="30">
        <v>1</v>
      </c>
      <c r="K186" s="31">
        <f>3415</f>
        <v>3415</v>
      </c>
      <c r="L186" s="32" t="s">
        <v>1110</v>
      </c>
      <c r="M186" s="31">
        <f>3415</f>
        <v>3415</v>
      </c>
      <c r="N186" s="32" t="s">
        <v>1110</v>
      </c>
      <c r="O186" s="31">
        <f>3045</f>
        <v>3045</v>
      </c>
      <c r="P186" s="32" t="s">
        <v>883</v>
      </c>
      <c r="Q186" s="31">
        <f>3075</f>
        <v>3075</v>
      </c>
      <c r="R186" s="32" t="s">
        <v>883</v>
      </c>
      <c r="S186" s="33">
        <f>3226.5</f>
        <v>3226.5</v>
      </c>
      <c r="T186" s="30">
        <f>14610</f>
        <v>14610</v>
      </c>
      <c r="U186" s="30" t="str">
        <f>"－"</f>
        <v>－</v>
      </c>
      <c r="V186" s="30">
        <f>47077315</f>
        <v>47077315</v>
      </c>
      <c r="W186" s="30" t="str">
        <f>"－"</f>
        <v>－</v>
      </c>
      <c r="X186" s="34">
        <f>20</f>
        <v>20</v>
      </c>
    </row>
    <row r="187" spans="1:24">
      <c r="A187" s="25" t="s">
        <v>1128</v>
      </c>
      <c r="B187" s="25" t="s">
        <v>481</v>
      </c>
      <c r="C187" s="25" t="s">
        <v>482</v>
      </c>
      <c r="D187" s="25" t="s">
        <v>483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1912</f>
        <v>1912</v>
      </c>
      <c r="L187" s="32" t="s">
        <v>1110</v>
      </c>
      <c r="M187" s="31">
        <f>2222</f>
        <v>2222</v>
      </c>
      <c r="N187" s="32" t="s">
        <v>883</v>
      </c>
      <c r="O187" s="31">
        <f>1816</f>
        <v>1816</v>
      </c>
      <c r="P187" s="32" t="s">
        <v>684</v>
      </c>
      <c r="Q187" s="31">
        <f>2211</f>
        <v>2211</v>
      </c>
      <c r="R187" s="32" t="s">
        <v>883</v>
      </c>
      <c r="S187" s="33">
        <f>2019.05</f>
        <v>2019.05</v>
      </c>
      <c r="T187" s="30">
        <f>10770445</f>
        <v>10770445</v>
      </c>
      <c r="U187" s="30">
        <f>400050</f>
        <v>400050</v>
      </c>
      <c r="V187" s="30">
        <f>22417241587</f>
        <v>22417241587</v>
      </c>
      <c r="W187" s="30">
        <f>920109000</f>
        <v>920109000</v>
      </c>
      <c r="X187" s="34">
        <f>20</f>
        <v>20</v>
      </c>
    </row>
    <row r="188" spans="1:24">
      <c r="A188" s="25" t="s">
        <v>1128</v>
      </c>
      <c r="B188" s="25" t="s">
        <v>484</v>
      </c>
      <c r="C188" s="25" t="s">
        <v>485</v>
      </c>
      <c r="D188" s="25" t="s">
        <v>486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1039</f>
        <v>1039</v>
      </c>
      <c r="L188" s="32" t="s">
        <v>1110</v>
      </c>
      <c r="M188" s="31">
        <f>1057</f>
        <v>1057</v>
      </c>
      <c r="N188" s="32" t="s">
        <v>684</v>
      </c>
      <c r="O188" s="31">
        <f>963</f>
        <v>963</v>
      </c>
      <c r="P188" s="32" t="s">
        <v>883</v>
      </c>
      <c r="Q188" s="31">
        <f>965</f>
        <v>965</v>
      </c>
      <c r="R188" s="32" t="s">
        <v>883</v>
      </c>
      <c r="S188" s="33">
        <f>1008</f>
        <v>1008</v>
      </c>
      <c r="T188" s="30">
        <f>1316472</f>
        <v>1316472</v>
      </c>
      <c r="U188" s="30">
        <f>11</f>
        <v>11</v>
      </c>
      <c r="V188" s="30">
        <f>1321582146</f>
        <v>1321582146</v>
      </c>
      <c r="W188" s="30">
        <f>10006</f>
        <v>10006</v>
      </c>
      <c r="X188" s="34">
        <f>20</f>
        <v>20</v>
      </c>
    </row>
    <row r="189" spans="1:24">
      <c r="A189" s="25" t="s">
        <v>1128</v>
      </c>
      <c r="B189" s="25" t="s">
        <v>487</v>
      </c>
      <c r="C189" s="25" t="s">
        <v>488</v>
      </c>
      <c r="D189" s="25" t="s">
        <v>489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28980</f>
        <v>28980</v>
      </c>
      <c r="L189" s="32" t="s">
        <v>1110</v>
      </c>
      <c r="M189" s="31">
        <f>30050</f>
        <v>30050</v>
      </c>
      <c r="N189" s="32" t="s">
        <v>874</v>
      </c>
      <c r="O189" s="31">
        <f>28350</f>
        <v>28350</v>
      </c>
      <c r="P189" s="32" t="s">
        <v>1124</v>
      </c>
      <c r="Q189" s="31">
        <f>29845</f>
        <v>29845</v>
      </c>
      <c r="R189" s="32" t="s">
        <v>883</v>
      </c>
      <c r="S189" s="33">
        <f>29044.75</f>
        <v>29044.75</v>
      </c>
      <c r="T189" s="30">
        <f>28440</f>
        <v>28440</v>
      </c>
      <c r="U189" s="30" t="str">
        <f>"－"</f>
        <v>－</v>
      </c>
      <c r="V189" s="30">
        <f>829181395</f>
        <v>829181395</v>
      </c>
      <c r="W189" s="30" t="str">
        <f>"－"</f>
        <v>－</v>
      </c>
      <c r="X189" s="34">
        <f>20</f>
        <v>20</v>
      </c>
    </row>
    <row r="190" spans="1:24">
      <c r="A190" s="25" t="s">
        <v>1128</v>
      </c>
      <c r="B190" s="25" t="s">
        <v>490</v>
      </c>
      <c r="C190" s="25" t="s">
        <v>491</v>
      </c>
      <c r="D190" s="25" t="s">
        <v>492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2561</f>
        <v>2561</v>
      </c>
      <c r="L190" s="32" t="s">
        <v>1110</v>
      </c>
      <c r="M190" s="31">
        <f>2589</f>
        <v>2589</v>
      </c>
      <c r="N190" s="32" t="s">
        <v>680</v>
      </c>
      <c r="O190" s="31">
        <f>2499</f>
        <v>2499</v>
      </c>
      <c r="P190" s="32" t="s">
        <v>883</v>
      </c>
      <c r="Q190" s="31">
        <f>2499</f>
        <v>2499</v>
      </c>
      <c r="R190" s="32" t="s">
        <v>883</v>
      </c>
      <c r="S190" s="33">
        <f>2545.85</f>
        <v>2545.85</v>
      </c>
      <c r="T190" s="30">
        <f>175208</f>
        <v>175208</v>
      </c>
      <c r="U190" s="30">
        <f>145</f>
        <v>145</v>
      </c>
      <c r="V190" s="30">
        <f>445771068</f>
        <v>445771068</v>
      </c>
      <c r="W190" s="30">
        <f>367360</f>
        <v>367360</v>
      </c>
      <c r="X190" s="34">
        <f>20</f>
        <v>20</v>
      </c>
    </row>
    <row r="191" spans="1:24">
      <c r="A191" s="25" t="s">
        <v>1128</v>
      </c>
      <c r="B191" s="25" t="s">
        <v>493</v>
      </c>
      <c r="C191" s="25" t="s">
        <v>1057</v>
      </c>
      <c r="D191" s="25" t="s">
        <v>1058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8280</f>
        <v>8280</v>
      </c>
      <c r="L191" s="32" t="s">
        <v>1110</v>
      </c>
      <c r="M191" s="31">
        <f>8307</f>
        <v>8307</v>
      </c>
      <c r="N191" s="32" t="s">
        <v>675</v>
      </c>
      <c r="O191" s="31">
        <f>7652</f>
        <v>7652</v>
      </c>
      <c r="P191" s="32" t="s">
        <v>875</v>
      </c>
      <c r="Q191" s="31">
        <f>7940</f>
        <v>7940</v>
      </c>
      <c r="R191" s="32" t="s">
        <v>883</v>
      </c>
      <c r="S191" s="33">
        <f>7978.15</f>
        <v>7978.15</v>
      </c>
      <c r="T191" s="30">
        <f>105564</f>
        <v>105564</v>
      </c>
      <c r="U191" s="30">
        <f>6000</f>
        <v>6000</v>
      </c>
      <c r="V191" s="30">
        <f>850329204</f>
        <v>850329204</v>
      </c>
      <c r="W191" s="30">
        <f>48486000</f>
        <v>48486000</v>
      </c>
      <c r="X191" s="34">
        <f>20</f>
        <v>20</v>
      </c>
    </row>
    <row r="192" spans="1:24">
      <c r="A192" s="25" t="s">
        <v>1128</v>
      </c>
      <c r="B192" s="25" t="s">
        <v>494</v>
      </c>
      <c r="C192" s="25" t="s">
        <v>495</v>
      </c>
      <c r="D192" s="25" t="s">
        <v>496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17850</f>
        <v>17850</v>
      </c>
      <c r="L192" s="32" t="s">
        <v>1110</v>
      </c>
      <c r="M192" s="31">
        <f>18790</f>
        <v>18790</v>
      </c>
      <c r="N192" s="32" t="s">
        <v>679</v>
      </c>
      <c r="O192" s="31">
        <f>17700</f>
        <v>17700</v>
      </c>
      <c r="P192" s="32" t="s">
        <v>1115</v>
      </c>
      <c r="Q192" s="31">
        <f>18425</f>
        <v>18425</v>
      </c>
      <c r="R192" s="32" t="s">
        <v>883</v>
      </c>
      <c r="S192" s="33">
        <f>18062.06</f>
        <v>18062.060000000001</v>
      </c>
      <c r="T192" s="30">
        <f>393</f>
        <v>393</v>
      </c>
      <c r="U192" s="30" t="str">
        <f>"－"</f>
        <v>－</v>
      </c>
      <c r="V192" s="30">
        <f>7079140</f>
        <v>7079140</v>
      </c>
      <c r="W192" s="30" t="str">
        <f>"－"</f>
        <v>－</v>
      </c>
      <c r="X192" s="34">
        <f>17</f>
        <v>17</v>
      </c>
    </row>
    <row r="193" spans="1:24">
      <c r="A193" s="25" t="s">
        <v>1128</v>
      </c>
      <c r="B193" s="25" t="s">
        <v>497</v>
      </c>
      <c r="C193" s="25" t="s">
        <v>498</v>
      </c>
      <c r="D193" s="25" t="s">
        <v>499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27695</f>
        <v>27695</v>
      </c>
      <c r="L193" s="32" t="s">
        <v>1110</v>
      </c>
      <c r="M193" s="31">
        <f>29515</f>
        <v>29515</v>
      </c>
      <c r="N193" s="32" t="s">
        <v>883</v>
      </c>
      <c r="O193" s="31">
        <f>27355</f>
        <v>27355</v>
      </c>
      <c r="P193" s="32" t="s">
        <v>684</v>
      </c>
      <c r="Q193" s="31">
        <f>29490</f>
        <v>29490</v>
      </c>
      <c r="R193" s="32" t="s">
        <v>883</v>
      </c>
      <c r="S193" s="33">
        <f>28201.5</f>
        <v>28201.5</v>
      </c>
      <c r="T193" s="30">
        <f>22881</f>
        <v>22881</v>
      </c>
      <c r="U193" s="30">
        <f>3</f>
        <v>3</v>
      </c>
      <c r="V193" s="30">
        <f>652999195</f>
        <v>652999195</v>
      </c>
      <c r="W193" s="30">
        <f>83070</f>
        <v>83070</v>
      </c>
      <c r="X193" s="34">
        <f>20</f>
        <v>20</v>
      </c>
    </row>
    <row r="194" spans="1:24">
      <c r="A194" s="25" t="s">
        <v>1128</v>
      </c>
      <c r="B194" s="25" t="s">
        <v>500</v>
      </c>
      <c r="C194" s="25" t="s">
        <v>501</v>
      </c>
      <c r="D194" s="25" t="s">
        <v>502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15995</f>
        <v>15995</v>
      </c>
      <c r="L194" s="32" t="s">
        <v>1110</v>
      </c>
      <c r="M194" s="31">
        <f>16235</f>
        <v>16235</v>
      </c>
      <c r="N194" s="32" t="s">
        <v>675</v>
      </c>
      <c r="O194" s="31">
        <f>15450</f>
        <v>15450</v>
      </c>
      <c r="P194" s="32" t="s">
        <v>680</v>
      </c>
      <c r="Q194" s="31">
        <f>16050</f>
        <v>16050</v>
      </c>
      <c r="R194" s="32" t="s">
        <v>1114</v>
      </c>
      <c r="S194" s="33">
        <f>15868.21</f>
        <v>15868.21</v>
      </c>
      <c r="T194" s="30">
        <f>587</f>
        <v>587</v>
      </c>
      <c r="U194" s="30" t="str">
        <f t="shared" ref="U194:U207" si="4">"－"</f>
        <v>－</v>
      </c>
      <c r="V194" s="30">
        <f>9221555</f>
        <v>9221555</v>
      </c>
      <c r="W194" s="30" t="str">
        <f t="shared" ref="W194:W207" si="5">"－"</f>
        <v>－</v>
      </c>
      <c r="X194" s="34">
        <f>14</f>
        <v>14</v>
      </c>
    </row>
    <row r="195" spans="1:24">
      <c r="A195" s="25" t="s">
        <v>1128</v>
      </c>
      <c r="B195" s="25" t="s">
        <v>503</v>
      </c>
      <c r="C195" s="25" t="s">
        <v>504</v>
      </c>
      <c r="D195" s="25" t="s">
        <v>505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28990</f>
        <v>28990</v>
      </c>
      <c r="L195" s="32" t="s">
        <v>1110</v>
      </c>
      <c r="M195" s="31">
        <f>29840</f>
        <v>29840</v>
      </c>
      <c r="N195" s="32" t="s">
        <v>1113</v>
      </c>
      <c r="O195" s="31">
        <f>28020</f>
        <v>28020</v>
      </c>
      <c r="P195" s="32" t="s">
        <v>1117</v>
      </c>
      <c r="Q195" s="31">
        <f>29055</f>
        <v>29055</v>
      </c>
      <c r="R195" s="32" t="s">
        <v>883</v>
      </c>
      <c r="S195" s="33">
        <f>28988.5</f>
        <v>28988.5</v>
      </c>
      <c r="T195" s="30">
        <f>85540</f>
        <v>85540</v>
      </c>
      <c r="U195" s="30" t="str">
        <f t="shared" si="4"/>
        <v>－</v>
      </c>
      <c r="V195" s="30">
        <f>2481904130</f>
        <v>2481904130</v>
      </c>
      <c r="W195" s="30" t="str">
        <f t="shared" si="5"/>
        <v>－</v>
      </c>
      <c r="X195" s="34">
        <f>20</f>
        <v>20</v>
      </c>
    </row>
    <row r="196" spans="1:24">
      <c r="A196" s="25" t="s">
        <v>1128</v>
      </c>
      <c r="B196" s="25" t="s">
        <v>506</v>
      </c>
      <c r="C196" s="25" t="s">
        <v>507</v>
      </c>
      <c r="D196" s="25" t="s">
        <v>508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3875</f>
        <v>3875</v>
      </c>
      <c r="L196" s="32" t="s">
        <v>1110</v>
      </c>
      <c r="M196" s="31">
        <f>3995</f>
        <v>3995</v>
      </c>
      <c r="N196" s="32" t="s">
        <v>679</v>
      </c>
      <c r="O196" s="31">
        <f>3770</f>
        <v>3770</v>
      </c>
      <c r="P196" s="32" t="s">
        <v>1123</v>
      </c>
      <c r="Q196" s="31">
        <f>3910</f>
        <v>3910</v>
      </c>
      <c r="R196" s="32" t="s">
        <v>883</v>
      </c>
      <c r="S196" s="33">
        <f>3880</f>
        <v>3880</v>
      </c>
      <c r="T196" s="30">
        <f>4066</f>
        <v>4066</v>
      </c>
      <c r="U196" s="30" t="str">
        <f t="shared" si="4"/>
        <v>－</v>
      </c>
      <c r="V196" s="30">
        <f>15668565</f>
        <v>15668565</v>
      </c>
      <c r="W196" s="30" t="str">
        <f t="shared" si="5"/>
        <v>－</v>
      </c>
      <c r="X196" s="34">
        <f>20</f>
        <v>20</v>
      </c>
    </row>
    <row r="197" spans="1:24">
      <c r="A197" s="25" t="s">
        <v>1128</v>
      </c>
      <c r="B197" s="25" t="s">
        <v>509</v>
      </c>
      <c r="C197" s="25" t="s">
        <v>510</v>
      </c>
      <c r="D197" s="25" t="s">
        <v>511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27695</f>
        <v>27695</v>
      </c>
      <c r="L197" s="32" t="s">
        <v>1110</v>
      </c>
      <c r="M197" s="31">
        <f>29875</f>
        <v>29875</v>
      </c>
      <c r="N197" s="32" t="s">
        <v>883</v>
      </c>
      <c r="O197" s="31">
        <f>26105</f>
        <v>26105</v>
      </c>
      <c r="P197" s="32" t="s">
        <v>677</v>
      </c>
      <c r="Q197" s="31">
        <f>29875</f>
        <v>29875</v>
      </c>
      <c r="R197" s="32" t="s">
        <v>883</v>
      </c>
      <c r="S197" s="33">
        <f>28065.79</f>
        <v>28065.79</v>
      </c>
      <c r="T197" s="30">
        <f>3045</f>
        <v>3045</v>
      </c>
      <c r="U197" s="30" t="str">
        <f t="shared" si="4"/>
        <v>－</v>
      </c>
      <c r="V197" s="30">
        <f>87392985</f>
        <v>87392985</v>
      </c>
      <c r="W197" s="30" t="str">
        <f t="shared" si="5"/>
        <v>－</v>
      </c>
      <c r="X197" s="34">
        <f>19</f>
        <v>19</v>
      </c>
    </row>
    <row r="198" spans="1:24">
      <c r="A198" s="25" t="s">
        <v>1128</v>
      </c>
      <c r="B198" s="25" t="s">
        <v>512</v>
      </c>
      <c r="C198" s="25" t="s">
        <v>513</v>
      </c>
      <c r="D198" s="25" t="s">
        <v>514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17945</f>
        <v>17945</v>
      </c>
      <c r="L198" s="32" t="s">
        <v>675</v>
      </c>
      <c r="M198" s="31">
        <f>18700</f>
        <v>18700</v>
      </c>
      <c r="N198" s="32" t="s">
        <v>679</v>
      </c>
      <c r="O198" s="31">
        <f>17455</f>
        <v>17455</v>
      </c>
      <c r="P198" s="32" t="s">
        <v>677</v>
      </c>
      <c r="Q198" s="31">
        <f>18285</f>
        <v>18285</v>
      </c>
      <c r="R198" s="32" t="s">
        <v>883</v>
      </c>
      <c r="S198" s="33">
        <f>18210.56</f>
        <v>18210.560000000001</v>
      </c>
      <c r="T198" s="30">
        <f>153</f>
        <v>153</v>
      </c>
      <c r="U198" s="30" t="str">
        <f t="shared" si="4"/>
        <v>－</v>
      </c>
      <c r="V198" s="30">
        <f>2714090</f>
        <v>2714090</v>
      </c>
      <c r="W198" s="30" t="str">
        <f t="shared" si="5"/>
        <v>－</v>
      </c>
      <c r="X198" s="34">
        <f>9</f>
        <v>9</v>
      </c>
    </row>
    <row r="199" spans="1:24">
      <c r="A199" s="25" t="s">
        <v>1128</v>
      </c>
      <c r="B199" s="25" t="s">
        <v>515</v>
      </c>
      <c r="C199" s="25" t="s">
        <v>516</v>
      </c>
      <c r="D199" s="25" t="s">
        <v>517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31500</f>
        <v>31500</v>
      </c>
      <c r="L199" s="32" t="s">
        <v>1110</v>
      </c>
      <c r="M199" s="31">
        <f>33570</f>
        <v>33570</v>
      </c>
      <c r="N199" s="32" t="s">
        <v>1111</v>
      </c>
      <c r="O199" s="31">
        <f>30360</f>
        <v>30360</v>
      </c>
      <c r="P199" s="32" t="s">
        <v>1123</v>
      </c>
      <c r="Q199" s="31">
        <f>33300</f>
        <v>33300</v>
      </c>
      <c r="R199" s="32" t="s">
        <v>883</v>
      </c>
      <c r="S199" s="33">
        <f>32026.11</f>
        <v>32026.11</v>
      </c>
      <c r="T199" s="30">
        <f>486</f>
        <v>486</v>
      </c>
      <c r="U199" s="30" t="str">
        <f t="shared" si="4"/>
        <v>－</v>
      </c>
      <c r="V199" s="30">
        <f>15919480</f>
        <v>15919480</v>
      </c>
      <c r="W199" s="30" t="str">
        <f t="shared" si="5"/>
        <v>－</v>
      </c>
      <c r="X199" s="34">
        <f>18</f>
        <v>18</v>
      </c>
    </row>
    <row r="200" spans="1:24">
      <c r="A200" s="25" t="s">
        <v>1128</v>
      </c>
      <c r="B200" s="25" t="s">
        <v>518</v>
      </c>
      <c r="C200" s="25" t="s">
        <v>519</v>
      </c>
      <c r="D200" s="25" t="s">
        <v>520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17620</f>
        <v>17620</v>
      </c>
      <c r="L200" s="32" t="s">
        <v>677</v>
      </c>
      <c r="M200" s="31">
        <f>19435</f>
        <v>19435</v>
      </c>
      <c r="N200" s="32" t="s">
        <v>1111</v>
      </c>
      <c r="O200" s="31">
        <f>17620</f>
        <v>17620</v>
      </c>
      <c r="P200" s="32" t="s">
        <v>677</v>
      </c>
      <c r="Q200" s="31">
        <f>19435</f>
        <v>19435</v>
      </c>
      <c r="R200" s="32" t="s">
        <v>1111</v>
      </c>
      <c r="S200" s="33">
        <f>18510</f>
        <v>18510</v>
      </c>
      <c r="T200" s="30">
        <f>123</f>
        <v>123</v>
      </c>
      <c r="U200" s="30" t="str">
        <f t="shared" si="4"/>
        <v>－</v>
      </c>
      <c r="V200" s="30">
        <f>2197915</f>
        <v>2197915</v>
      </c>
      <c r="W200" s="30" t="str">
        <f t="shared" si="5"/>
        <v>－</v>
      </c>
      <c r="X200" s="34">
        <f>4</f>
        <v>4</v>
      </c>
    </row>
    <row r="201" spans="1:24">
      <c r="A201" s="25" t="s">
        <v>1128</v>
      </c>
      <c r="B201" s="25" t="s">
        <v>521</v>
      </c>
      <c r="C201" s="25" t="s">
        <v>522</v>
      </c>
      <c r="D201" s="25" t="s">
        <v>523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18700</f>
        <v>18700</v>
      </c>
      <c r="L201" s="32" t="s">
        <v>1110</v>
      </c>
      <c r="M201" s="31">
        <f>20140</f>
        <v>20140</v>
      </c>
      <c r="N201" s="32" t="s">
        <v>874</v>
      </c>
      <c r="O201" s="31">
        <f>18480</f>
        <v>18480</v>
      </c>
      <c r="P201" s="32" t="s">
        <v>677</v>
      </c>
      <c r="Q201" s="31">
        <f>19845</f>
        <v>19845</v>
      </c>
      <c r="R201" s="32" t="s">
        <v>1114</v>
      </c>
      <c r="S201" s="33">
        <f>19290</f>
        <v>19290</v>
      </c>
      <c r="T201" s="30">
        <f>1903</f>
        <v>1903</v>
      </c>
      <c r="U201" s="30" t="str">
        <f t="shared" si="4"/>
        <v>－</v>
      </c>
      <c r="V201" s="30">
        <f>36824875</f>
        <v>36824875</v>
      </c>
      <c r="W201" s="30" t="str">
        <f t="shared" si="5"/>
        <v>－</v>
      </c>
      <c r="X201" s="34">
        <f>19</f>
        <v>19</v>
      </c>
    </row>
    <row r="202" spans="1:24">
      <c r="A202" s="25" t="s">
        <v>1128</v>
      </c>
      <c r="B202" s="25" t="s">
        <v>524</v>
      </c>
      <c r="C202" s="25" t="s">
        <v>525</v>
      </c>
      <c r="D202" s="25" t="s">
        <v>526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22505</f>
        <v>22505</v>
      </c>
      <c r="L202" s="32" t="s">
        <v>1110</v>
      </c>
      <c r="M202" s="31">
        <f>23805</f>
        <v>23805</v>
      </c>
      <c r="N202" s="32" t="s">
        <v>1114</v>
      </c>
      <c r="O202" s="31">
        <f>22505</f>
        <v>22505</v>
      </c>
      <c r="P202" s="32" t="s">
        <v>1110</v>
      </c>
      <c r="Q202" s="31">
        <f>23805</f>
        <v>23805</v>
      </c>
      <c r="R202" s="32" t="s">
        <v>1114</v>
      </c>
      <c r="S202" s="33">
        <f>23120.63</f>
        <v>23120.63</v>
      </c>
      <c r="T202" s="30">
        <f>372</f>
        <v>372</v>
      </c>
      <c r="U202" s="30" t="str">
        <f t="shared" si="4"/>
        <v>－</v>
      </c>
      <c r="V202" s="30">
        <f>8487960</f>
        <v>8487960</v>
      </c>
      <c r="W202" s="30" t="str">
        <f t="shared" si="5"/>
        <v>－</v>
      </c>
      <c r="X202" s="34">
        <f>8</f>
        <v>8</v>
      </c>
    </row>
    <row r="203" spans="1:24">
      <c r="A203" s="25" t="s">
        <v>1128</v>
      </c>
      <c r="B203" s="25" t="s">
        <v>527</v>
      </c>
      <c r="C203" s="25" t="s">
        <v>528</v>
      </c>
      <c r="D203" s="25" t="s">
        <v>529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17545</f>
        <v>17545</v>
      </c>
      <c r="L203" s="32" t="s">
        <v>1124</v>
      </c>
      <c r="M203" s="31">
        <f>17850</f>
        <v>17850</v>
      </c>
      <c r="N203" s="32" t="s">
        <v>1111</v>
      </c>
      <c r="O203" s="31">
        <f>17545</f>
        <v>17545</v>
      </c>
      <c r="P203" s="32" t="s">
        <v>1124</v>
      </c>
      <c r="Q203" s="31">
        <f>17850</f>
        <v>17850</v>
      </c>
      <c r="R203" s="32" t="s">
        <v>1111</v>
      </c>
      <c r="S203" s="33">
        <f>17690</f>
        <v>17690</v>
      </c>
      <c r="T203" s="30">
        <f>4</f>
        <v>4</v>
      </c>
      <c r="U203" s="30" t="str">
        <f t="shared" si="4"/>
        <v>－</v>
      </c>
      <c r="V203" s="30">
        <f>70745</f>
        <v>70745</v>
      </c>
      <c r="W203" s="30" t="str">
        <f t="shared" si="5"/>
        <v>－</v>
      </c>
      <c r="X203" s="34">
        <f>3</f>
        <v>3</v>
      </c>
    </row>
    <row r="204" spans="1:24">
      <c r="A204" s="25" t="s">
        <v>1128</v>
      </c>
      <c r="B204" s="25" t="s">
        <v>530</v>
      </c>
      <c r="C204" s="25" t="s">
        <v>531</v>
      </c>
      <c r="D204" s="25" t="s">
        <v>532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11335</f>
        <v>11335</v>
      </c>
      <c r="L204" s="32" t="s">
        <v>1110</v>
      </c>
      <c r="M204" s="31">
        <f>11715</f>
        <v>11715</v>
      </c>
      <c r="N204" s="32" t="s">
        <v>874</v>
      </c>
      <c r="O204" s="31">
        <f>11215</f>
        <v>11215</v>
      </c>
      <c r="P204" s="32" t="s">
        <v>677</v>
      </c>
      <c r="Q204" s="31">
        <f>11465</f>
        <v>11465</v>
      </c>
      <c r="R204" s="32" t="s">
        <v>883</v>
      </c>
      <c r="S204" s="33">
        <f>11447.86</f>
        <v>11447.86</v>
      </c>
      <c r="T204" s="30">
        <f>3347</f>
        <v>3347</v>
      </c>
      <c r="U204" s="30" t="str">
        <f t="shared" si="4"/>
        <v>－</v>
      </c>
      <c r="V204" s="30">
        <f>38346280</f>
        <v>38346280</v>
      </c>
      <c r="W204" s="30" t="str">
        <f t="shared" si="5"/>
        <v>－</v>
      </c>
      <c r="X204" s="34">
        <f>14</f>
        <v>14</v>
      </c>
    </row>
    <row r="205" spans="1:24">
      <c r="A205" s="25" t="s">
        <v>1128</v>
      </c>
      <c r="B205" s="25" t="s">
        <v>533</v>
      </c>
      <c r="C205" s="25" t="s">
        <v>534</v>
      </c>
      <c r="D205" s="25" t="s">
        <v>535</v>
      </c>
      <c r="E205" s="26" t="s">
        <v>43</v>
      </c>
      <c r="F205" s="27" t="s">
        <v>43</v>
      </c>
      <c r="G205" s="28" t="s">
        <v>43</v>
      </c>
      <c r="H205" s="29"/>
      <c r="I205" s="29" t="s">
        <v>465</v>
      </c>
      <c r="J205" s="30">
        <v>1</v>
      </c>
      <c r="K205" s="31">
        <f>13500</f>
        <v>13500</v>
      </c>
      <c r="L205" s="32" t="s">
        <v>1110</v>
      </c>
      <c r="M205" s="31">
        <f>14095</f>
        <v>14095</v>
      </c>
      <c r="N205" s="32" t="s">
        <v>1112</v>
      </c>
      <c r="O205" s="31">
        <f>13210</f>
        <v>13210</v>
      </c>
      <c r="P205" s="32" t="s">
        <v>677</v>
      </c>
      <c r="Q205" s="31">
        <f>14000</f>
        <v>14000</v>
      </c>
      <c r="R205" s="32" t="s">
        <v>883</v>
      </c>
      <c r="S205" s="33">
        <f>13705.5</f>
        <v>13705.5</v>
      </c>
      <c r="T205" s="30">
        <f>32004</f>
        <v>32004</v>
      </c>
      <c r="U205" s="30" t="str">
        <f t="shared" si="4"/>
        <v>－</v>
      </c>
      <c r="V205" s="30">
        <f>437729705</f>
        <v>437729705</v>
      </c>
      <c r="W205" s="30" t="str">
        <f t="shared" si="5"/>
        <v>－</v>
      </c>
      <c r="X205" s="34">
        <f>20</f>
        <v>20</v>
      </c>
    </row>
    <row r="206" spans="1:24">
      <c r="A206" s="25" t="s">
        <v>1128</v>
      </c>
      <c r="B206" s="25" t="s">
        <v>536</v>
      </c>
      <c r="C206" s="25" t="s">
        <v>537</v>
      </c>
      <c r="D206" s="25" t="s">
        <v>538</v>
      </c>
      <c r="E206" s="26" t="s">
        <v>43</v>
      </c>
      <c r="F206" s="27" t="s">
        <v>43</v>
      </c>
      <c r="G206" s="28" t="s">
        <v>43</v>
      </c>
      <c r="H206" s="29"/>
      <c r="I206" s="29" t="s">
        <v>465</v>
      </c>
      <c r="J206" s="30">
        <v>1</v>
      </c>
      <c r="K206" s="31">
        <f>12245</f>
        <v>12245</v>
      </c>
      <c r="L206" s="32" t="s">
        <v>1110</v>
      </c>
      <c r="M206" s="31">
        <f>12640</f>
        <v>12640</v>
      </c>
      <c r="N206" s="32" t="s">
        <v>874</v>
      </c>
      <c r="O206" s="31">
        <f>12070</f>
        <v>12070</v>
      </c>
      <c r="P206" s="32" t="s">
        <v>1117</v>
      </c>
      <c r="Q206" s="31">
        <f>12575</f>
        <v>12575</v>
      </c>
      <c r="R206" s="32" t="s">
        <v>1111</v>
      </c>
      <c r="S206" s="33">
        <f>12334.17</f>
        <v>12334.17</v>
      </c>
      <c r="T206" s="30">
        <f>4819</f>
        <v>4819</v>
      </c>
      <c r="U206" s="30" t="str">
        <f t="shared" si="4"/>
        <v>－</v>
      </c>
      <c r="V206" s="30">
        <f>59607325</f>
        <v>59607325</v>
      </c>
      <c r="W206" s="30" t="str">
        <f t="shared" si="5"/>
        <v>－</v>
      </c>
      <c r="X206" s="34">
        <f>12</f>
        <v>12</v>
      </c>
    </row>
    <row r="207" spans="1:24">
      <c r="A207" s="25" t="s">
        <v>1128</v>
      </c>
      <c r="B207" s="25" t="s">
        <v>783</v>
      </c>
      <c r="C207" s="25" t="s">
        <v>784</v>
      </c>
      <c r="D207" s="25" t="s">
        <v>785</v>
      </c>
      <c r="E207" s="26" t="s">
        <v>43</v>
      </c>
      <c r="F207" s="27" t="s">
        <v>43</v>
      </c>
      <c r="G207" s="28" t="s">
        <v>43</v>
      </c>
      <c r="H207" s="29"/>
      <c r="I207" s="29" t="s">
        <v>465</v>
      </c>
      <c r="J207" s="30">
        <v>1</v>
      </c>
      <c r="K207" s="31">
        <f>12430</f>
        <v>12430</v>
      </c>
      <c r="L207" s="32" t="s">
        <v>1113</v>
      </c>
      <c r="M207" s="31">
        <f>12640</f>
        <v>12640</v>
      </c>
      <c r="N207" s="32" t="s">
        <v>874</v>
      </c>
      <c r="O207" s="31">
        <f>12215</f>
        <v>12215</v>
      </c>
      <c r="P207" s="32" t="s">
        <v>1117</v>
      </c>
      <c r="Q207" s="31">
        <f>12640</f>
        <v>12640</v>
      </c>
      <c r="R207" s="32" t="s">
        <v>874</v>
      </c>
      <c r="S207" s="33">
        <f>12477.5</f>
        <v>12477.5</v>
      </c>
      <c r="T207" s="30">
        <f>25</f>
        <v>25</v>
      </c>
      <c r="U207" s="30" t="str">
        <f t="shared" si="4"/>
        <v>－</v>
      </c>
      <c r="V207" s="30">
        <f>313380</f>
        <v>313380</v>
      </c>
      <c r="W207" s="30" t="str">
        <f t="shared" si="5"/>
        <v>－</v>
      </c>
      <c r="X207" s="34">
        <f>4</f>
        <v>4</v>
      </c>
    </row>
    <row r="208" spans="1:24">
      <c r="A208" s="25" t="s">
        <v>1128</v>
      </c>
      <c r="B208" s="25" t="s">
        <v>991</v>
      </c>
      <c r="C208" s="25" t="s">
        <v>992</v>
      </c>
      <c r="D208" s="25" t="s">
        <v>993</v>
      </c>
      <c r="E208" s="26" t="s">
        <v>43</v>
      </c>
      <c r="F208" s="27" t="s">
        <v>43</v>
      </c>
      <c r="G208" s="28" t="s">
        <v>43</v>
      </c>
      <c r="H208" s="29"/>
      <c r="I208" s="29" t="s">
        <v>44</v>
      </c>
      <c r="J208" s="30">
        <v>1</v>
      </c>
      <c r="K208" s="31">
        <f>1125</f>
        <v>1125</v>
      </c>
      <c r="L208" s="32" t="s">
        <v>1110</v>
      </c>
      <c r="M208" s="31">
        <f>1209</f>
        <v>1209</v>
      </c>
      <c r="N208" s="32" t="s">
        <v>874</v>
      </c>
      <c r="O208" s="31">
        <f>1115</f>
        <v>1115</v>
      </c>
      <c r="P208" s="32" t="s">
        <v>677</v>
      </c>
      <c r="Q208" s="31">
        <f>1202</f>
        <v>1202</v>
      </c>
      <c r="R208" s="32" t="s">
        <v>883</v>
      </c>
      <c r="S208" s="33">
        <f>1165.25</f>
        <v>1165.25</v>
      </c>
      <c r="T208" s="30">
        <f>7196372</f>
        <v>7196372</v>
      </c>
      <c r="U208" s="30">
        <f>146358</f>
        <v>146358</v>
      </c>
      <c r="V208" s="30">
        <f>8381786012</f>
        <v>8381786012</v>
      </c>
      <c r="W208" s="30">
        <f>168011535</f>
        <v>168011535</v>
      </c>
      <c r="X208" s="34">
        <f>20</f>
        <v>20</v>
      </c>
    </row>
    <row r="209" spans="1:24">
      <c r="A209" s="25" t="s">
        <v>1128</v>
      </c>
      <c r="B209" s="25" t="s">
        <v>994</v>
      </c>
      <c r="C209" s="25" t="s">
        <v>995</v>
      </c>
      <c r="D209" s="25" t="s">
        <v>996</v>
      </c>
      <c r="E209" s="26" t="s">
        <v>43</v>
      </c>
      <c r="F209" s="27" t="s">
        <v>43</v>
      </c>
      <c r="G209" s="28" t="s">
        <v>43</v>
      </c>
      <c r="H209" s="29"/>
      <c r="I209" s="29" t="s">
        <v>44</v>
      </c>
      <c r="J209" s="30">
        <v>1</v>
      </c>
      <c r="K209" s="31">
        <f>1157</f>
        <v>1157</v>
      </c>
      <c r="L209" s="32" t="s">
        <v>1110</v>
      </c>
      <c r="M209" s="31">
        <f>1355</f>
        <v>1355</v>
      </c>
      <c r="N209" s="32" t="s">
        <v>1114</v>
      </c>
      <c r="O209" s="31">
        <f>1149</f>
        <v>1149</v>
      </c>
      <c r="P209" s="32" t="s">
        <v>677</v>
      </c>
      <c r="Q209" s="31">
        <f>1235</f>
        <v>1235</v>
      </c>
      <c r="R209" s="32" t="s">
        <v>883</v>
      </c>
      <c r="S209" s="33">
        <f>1195.85</f>
        <v>1195.8499999999999</v>
      </c>
      <c r="T209" s="30">
        <f>437249</f>
        <v>437249</v>
      </c>
      <c r="U209" s="30" t="str">
        <f>"－"</f>
        <v>－</v>
      </c>
      <c r="V209" s="30">
        <f>523760007</f>
        <v>523760007</v>
      </c>
      <c r="W209" s="30" t="str">
        <f>"－"</f>
        <v>－</v>
      </c>
      <c r="X209" s="34">
        <f>20</f>
        <v>20</v>
      </c>
    </row>
    <row r="210" spans="1:24">
      <c r="A210" s="25" t="s">
        <v>1128</v>
      </c>
      <c r="B210" s="25" t="s">
        <v>997</v>
      </c>
      <c r="C210" s="25" t="s">
        <v>998</v>
      </c>
      <c r="D210" s="25" t="s">
        <v>999</v>
      </c>
      <c r="E210" s="26" t="s">
        <v>43</v>
      </c>
      <c r="F210" s="27" t="s">
        <v>43</v>
      </c>
      <c r="G210" s="28" t="s">
        <v>43</v>
      </c>
      <c r="H210" s="29"/>
      <c r="I210" s="29" t="s">
        <v>44</v>
      </c>
      <c r="J210" s="30">
        <v>1</v>
      </c>
      <c r="K210" s="31">
        <f>1038</f>
        <v>1038</v>
      </c>
      <c r="L210" s="32" t="s">
        <v>1110</v>
      </c>
      <c r="M210" s="31">
        <f>1077</f>
        <v>1077</v>
      </c>
      <c r="N210" s="32" t="s">
        <v>874</v>
      </c>
      <c r="O210" s="31">
        <f>1014</f>
        <v>1014</v>
      </c>
      <c r="P210" s="32" t="s">
        <v>677</v>
      </c>
      <c r="Q210" s="31">
        <f>1063</f>
        <v>1063</v>
      </c>
      <c r="R210" s="32" t="s">
        <v>883</v>
      </c>
      <c r="S210" s="33">
        <f>1045.35</f>
        <v>1045.3499999999999</v>
      </c>
      <c r="T210" s="30">
        <f>25351</f>
        <v>25351</v>
      </c>
      <c r="U210" s="30" t="str">
        <f>"－"</f>
        <v>－</v>
      </c>
      <c r="V210" s="30">
        <f>26468535</f>
        <v>26468535</v>
      </c>
      <c r="W210" s="30" t="str">
        <f>"－"</f>
        <v>－</v>
      </c>
      <c r="X210" s="34">
        <f>20</f>
        <v>20</v>
      </c>
    </row>
    <row r="211" spans="1:24">
      <c r="A211" s="25" t="s">
        <v>1128</v>
      </c>
      <c r="B211" s="25" t="s">
        <v>1000</v>
      </c>
      <c r="C211" s="25" t="s">
        <v>1001</v>
      </c>
      <c r="D211" s="25" t="s">
        <v>1002</v>
      </c>
      <c r="E211" s="26" t="s">
        <v>43</v>
      </c>
      <c r="F211" s="27" t="s">
        <v>43</v>
      </c>
      <c r="G211" s="28" t="s">
        <v>43</v>
      </c>
      <c r="H211" s="29"/>
      <c r="I211" s="29" t="s">
        <v>44</v>
      </c>
      <c r="J211" s="30">
        <v>1</v>
      </c>
      <c r="K211" s="31">
        <f>2260</f>
        <v>2260</v>
      </c>
      <c r="L211" s="32" t="s">
        <v>1110</v>
      </c>
      <c r="M211" s="31">
        <f>2424</f>
        <v>2424</v>
      </c>
      <c r="N211" s="32" t="s">
        <v>1114</v>
      </c>
      <c r="O211" s="31">
        <f>2214</f>
        <v>2214</v>
      </c>
      <c r="P211" s="32" t="s">
        <v>677</v>
      </c>
      <c r="Q211" s="31">
        <f>2337</f>
        <v>2337</v>
      </c>
      <c r="R211" s="32" t="s">
        <v>883</v>
      </c>
      <c r="S211" s="33">
        <f>2303.1</f>
        <v>2303.1</v>
      </c>
      <c r="T211" s="30">
        <f>432366</f>
        <v>432366</v>
      </c>
      <c r="U211" s="30">
        <f>44591</f>
        <v>44591</v>
      </c>
      <c r="V211" s="30">
        <f>990729242</f>
        <v>990729242</v>
      </c>
      <c r="W211" s="30">
        <f>100532762</f>
        <v>100532762</v>
      </c>
      <c r="X211" s="34">
        <f>20</f>
        <v>20</v>
      </c>
    </row>
    <row r="212" spans="1:24">
      <c r="A212" s="25" t="s">
        <v>1128</v>
      </c>
      <c r="B212" s="25" t="s">
        <v>1003</v>
      </c>
      <c r="C212" s="25" t="s">
        <v>1004</v>
      </c>
      <c r="D212" s="25" t="s">
        <v>1005</v>
      </c>
      <c r="E212" s="26" t="s">
        <v>43</v>
      </c>
      <c r="F212" s="27" t="s">
        <v>43</v>
      </c>
      <c r="G212" s="28" t="s">
        <v>43</v>
      </c>
      <c r="H212" s="29"/>
      <c r="I212" s="29" t="s">
        <v>44</v>
      </c>
      <c r="J212" s="30">
        <v>1</v>
      </c>
      <c r="K212" s="31">
        <f>2252</f>
        <v>2252</v>
      </c>
      <c r="L212" s="32" t="s">
        <v>1110</v>
      </c>
      <c r="M212" s="31">
        <f>2373</f>
        <v>2373</v>
      </c>
      <c r="N212" s="32" t="s">
        <v>1114</v>
      </c>
      <c r="O212" s="31">
        <f>2188</f>
        <v>2188</v>
      </c>
      <c r="P212" s="32" t="s">
        <v>677</v>
      </c>
      <c r="Q212" s="31">
        <f>2351</f>
        <v>2351</v>
      </c>
      <c r="R212" s="32" t="s">
        <v>883</v>
      </c>
      <c r="S212" s="33">
        <f>2286.55</f>
        <v>2286.5500000000002</v>
      </c>
      <c r="T212" s="30">
        <f>1243680</f>
        <v>1243680</v>
      </c>
      <c r="U212" s="30">
        <f>10730</f>
        <v>10730</v>
      </c>
      <c r="V212" s="30">
        <f>2836359338</f>
        <v>2836359338</v>
      </c>
      <c r="W212" s="30">
        <f>25062620</f>
        <v>25062620</v>
      </c>
      <c r="X212" s="34">
        <f>20</f>
        <v>20</v>
      </c>
    </row>
    <row r="213" spans="1:24">
      <c r="A213" s="25" t="s">
        <v>1128</v>
      </c>
      <c r="B213" s="25" t="s">
        <v>1006</v>
      </c>
      <c r="C213" s="25" t="s">
        <v>1007</v>
      </c>
      <c r="D213" s="25" t="s">
        <v>1008</v>
      </c>
      <c r="E213" s="26" t="s">
        <v>43</v>
      </c>
      <c r="F213" s="27" t="s">
        <v>43</v>
      </c>
      <c r="G213" s="28" t="s">
        <v>43</v>
      </c>
      <c r="H213" s="29"/>
      <c r="I213" s="29" t="s">
        <v>44</v>
      </c>
      <c r="J213" s="30">
        <v>10</v>
      </c>
      <c r="K213" s="31">
        <f>570</f>
        <v>570</v>
      </c>
      <c r="L213" s="32" t="s">
        <v>1110</v>
      </c>
      <c r="M213" s="31">
        <f>587.9</f>
        <v>587.9</v>
      </c>
      <c r="N213" s="32" t="s">
        <v>1112</v>
      </c>
      <c r="O213" s="31">
        <f>548.1</f>
        <v>548.1</v>
      </c>
      <c r="P213" s="32" t="s">
        <v>677</v>
      </c>
      <c r="Q213" s="31">
        <f>585.4</f>
        <v>585.4</v>
      </c>
      <c r="R213" s="32" t="s">
        <v>883</v>
      </c>
      <c r="S213" s="33">
        <f>570.74</f>
        <v>570.74</v>
      </c>
      <c r="T213" s="30">
        <f>3409380</f>
        <v>3409380</v>
      </c>
      <c r="U213" s="30">
        <f>111130</f>
        <v>111130</v>
      </c>
      <c r="V213" s="30">
        <f>1932988601</f>
        <v>1932988601</v>
      </c>
      <c r="W213" s="30">
        <f>62738728</f>
        <v>62738728</v>
      </c>
      <c r="X213" s="34">
        <f>20</f>
        <v>20</v>
      </c>
    </row>
    <row r="214" spans="1:24">
      <c r="A214" s="25" t="s">
        <v>1128</v>
      </c>
      <c r="B214" s="25" t="s">
        <v>1009</v>
      </c>
      <c r="C214" s="25" t="s">
        <v>1010</v>
      </c>
      <c r="D214" s="25" t="s">
        <v>1011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10</v>
      </c>
      <c r="K214" s="31">
        <f>2275</f>
        <v>2275</v>
      </c>
      <c r="L214" s="32" t="s">
        <v>674</v>
      </c>
      <c r="M214" s="31">
        <f>2323.5</f>
        <v>2323.5</v>
      </c>
      <c r="N214" s="32" t="s">
        <v>874</v>
      </c>
      <c r="O214" s="31">
        <f>2255</f>
        <v>2255</v>
      </c>
      <c r="P214" s="32" t="s">
        <v>1124</v>
      </c>
      <c r="Q214" s="31">
        <f>2323.5</f>
        <v>2323.5</v>
      </c>
      <c r="R214" s="32" t="s">
        <v>874</v>
      </c>
      <c r="S214" s="33">
        <f>2280.58</f>
        <v>2280.58</v>
      </c>
      <c r="T214" s="30">
        <f>480530</f>
        <v>480530</v>
      </c>
      <c r="U214" s="30">
        <f>430480</f>
        <v>430480</v>
      </c>
      <c r="V214" s="30">
        <f>1113611955</f>
        <v>1113611955</v>
      </c>
      <c r="W214" s="30">
        <f>999746750</f>
        <v>999746750</v>
      </c>
      <c r="X214" s="34">
        <f>6</f>
        <v>6</v>
      </c>
    </row>
    <row r="215" spans="1:24">
      <c r="A215" s="25" t="s">
        <v>1128</v>
      </c>
      <c r="B215" s="25" t="s">
        <v>1012</v>
      </c>
      <c r="C215" s="25" t="s">
        <v>1013</v>
      </c>
      <c r="D215" s="25" t="s">
        <v>1014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10</v>
      </c>
      <c r="K215" s="31">
        <f>2377.5</f>
        <v>2377.5</v>
      </c>
      <c r="L215" s="32" t="s">
        <v>675</v>
      </c>
      <c r="M215" s="31">
        <f>2380</f>
        <v>2380</v>
      </c>
      <c r="N215" s="32" t="s">
        <v>678</v>
      </c>
      <c r="O215" s="31">
        <f>2317.5</f>
        <v>2317.5</v>
      </c>
      <c r="P215" s="32" t="s">
        <v>678</v>
      </c>
      <c r="Q215" s="31">
        <f>2370.5</f>
        <v>2370.5</v>
      </c>
      <c r="R215" s="32" t="s">
        <v>1111</v>
      </c>
      <c r="S215" s="33">
        <f>2353.25</f>
        <v>2353.25</v>
      </c>
      <c r="T215" s="30">
        <f>94030</f>
        <v>94030</v>
      </c>
      <c r="U215" s="30" t="str">
        <f>"－"</f>
        <v>－</v>
      </c>
      <c r="V215" s="30">
        <f>222044430</f>
        <v>222044430</v>
      </c>
      <c r="W215" s="30" t="str">
        <f>"－"</f>
        <v>－</v>
      </c>
      <c r="X215" s="34">
        <f>8</f>
        <v>8</v>
      </c>
    </row>
    <row r="216" spans="1:24">
      <c r="A216" s="25" t="s">
        <v>1128</v>
      </c>
      <c r="B216" s="25" t="s">
        <v>1015</v>
      </c>
      <c r="C216" s="25" t="s">
        <v>1016</v>
      </c>
      <c r="D216" s="25" t="s">
        <v>1017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10</v>
      </c>
      <c r="K216" s="31">
        <f>2170</f>
        <v>2170</v>
      </c>
      <c r="L216" s="32" t="s">
        <v>674</v>
      </c>
      <c r="M216" s="31">
        <f>2208</f>
        <v>2208</v>
      </c>
      <c r="N216" s="32" t="s">
        <v>674</v>
      </c>
      <c r="O216" s="31">
        <f>2170</f>
        <v>2170</v>
      </c>
      <c r="P216" s="32" t="s">
        <v>674</v>
      </c>
      <c r="Q216" s="31">
        <f>2208</f>
        <v>2208</v>
      </c>
      <c r="R216" s="32" t="s">
        <v>674</v>
      </c>
      <c r="S216" s="33">
        <f>2208</f>
        <v>2208</v>
      </c>
      <c r="T216" s="30">
        <f>137020</f>
        <v>137020</v>
      </c>
      <c r="U216" s="30">
        <f>137000</f>
        <v>137000</v>
      </c>
      <c r="V216" s="30">
        <f>299831399</f>
        <v>299831399</v>
      </c>
      <c r="W216" s="30">
        <f>299787619</f>
        <v>299787619</v>
      </c>
      <c r="X216" s="34">
        <f>1</f>
        <v>1</v>
      </c>
    </row>
    <row r="217" spans="1:24">
      <c r="A217" s="25" t="s">
        <v>1128</v>
      </c>
      <c r="B217" s="25" t="s">
        <v>1018</v>
      </c>
      <c r="C217" s="25" t="s">
        <v>1019</v>
      </c>
      <c r="D217" s="25" t="s">
        <v>1020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10</v>
      </c>
      <c r="K217" s="31">
        <f>2247</f>
        <v>2247</v>
      </c>
      <c r="L217" s="32" t="s">
        <v>1123</v>
      </c>
      <c r="M217" s="31">
        <f>2279</f>
        <v>2279</v>
      </c>
      <c r="N217" s="32" t="s">
        <v>676</v>
      </c>
      <c r="O217" s="31">
        <f>2247</f>
        <v>2247</v>
      </c>
      <c r="P217" s="32" t="s">
        <v>1123</v>
      </c>
      <c r="Q217" s="31">
        <f>2279</f>
        <v>2279</v>
      </c>
      <c r="R217" s="32" t="s">
        <v>676</v>
      </c>
      <c r="S217" s="33">
        <f>2265</f>
        <v>2265</v>
      </c>
      <c r="T217" s="30">
        <f>90680</f>
        <v>90680</v>
      </c>
      <c r="U217" s="30">
        <f>90000</f>
        <v>90000</v>
      </c>
      <c r="V217" s="30">
        <f>201275448</f>
        <v>201275448</v>
      </c>
      <c r="W217" s="30">
        <f>199732293</f>
        <v>199732293</v>
      </c>
      <c r="X217" s="34">
        <f>3</f>
        <v>3</v>
      </c>
    </row>
    <row r="218" spans="1:24">
      <c r="A218" s="25" t="s">
        <v>1128</v>
      </c>
      <c r="B218" s="25" t="s">
        <v>1021</v>
      </c>
      <c r="C218" s="25" t="s">
        <v>1022</v>
      </c>
      <c r="D218" s="25" t="s">
        <v>1023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10</v>
      </c>
      <c r="K218" s="31">
        <f>5000</f>
        <v>5000</v>
      </c>
      <c r="L218" s="32" t="s">
        <v>883</v>
      </c>
      <c r="M218" s="31">
        <f>5000</f>
        <v>5000</v>
      </c>
      <c r="N218" s="32" t="s">
        <v>883</v>
      </c>
      <c r="O218" s="31">
        <f>5000</f>
        <v>5000</v>
      </c>
      <c r="P218" s="32" t="s">
        <v>883</v>
      </c>
      <c r="Q218" s="31">
        <f>5000</f>
        <v>5000</v>
      </c>
      <c r="R218" s="32" t="s">
        <v>883</v>
      </c>
      <c r="S218" s="33">
        <f>5000</f>
        <v>5000</v>
      </c>
      <c r="T218" s="30">
        <f>100</f>
        <v>100</v>
      </c>
      <c r="U218" s="30" t="str">
        <f>"－"</f>
        <v>－</v>
      </c>
      <c r="V218" s="30">
        <f>500000</f>
        <v>500000</v>
      </c>
      <c r="W218" s="30" t="str">
        <f>"－"</f>
        <v>－</v>
      </c>
      <c r="X218" s="34">
        <f>1</f>
        <v>1</v>
      </c>
    </row>
    <row r="219" spans="1:24">
      <c r="A219" s="25" t="s">
        <v>1128</v>
      </c>
      <c r="B219" s="25" t="s">
        <v>1024</v>
      </c>
      <c r="C219" s="25" t="s">
        <v>1025</v>
      </c>
      <c r="D219" s="25" t="s">
        <v>1026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10</v>
      </c>
      <c r="K219" s="31" t="str">
        <f>"－"</f>
        <v>－</v>
      </c>
      <c r="L219" s="32"/>
      <c r="M219" s="31" t="str">
        <f>"－"</f>
        <v>－</v>
      </c>
      <c r="N219" s="32"/>
      <c r="O219" s="31" t="str">
        <f>"－"</f>
        <v>－</v>
      </c>
      <c r="P219" s="32"/>
      <c r="Q219" s="31" t="str">
        <f>"－"</f>
        <v>－</v>
      </c>
      <c r="R219" s="32"/>
      <c r="S219" s="33" t="str">
        <f>"－"</f>
        <v>－</v>
      </c>
      <c r="T219" s="30">
        <f>390000</f>
        <v>390000</v>
      </c>
      <c r="U219" s="30">
        <f>390000</f>
        <v>390000</v>
      </c>
      <c r="V219" s="30">
        <f>1976773500</f>
        <v>1976773500</v>
      </c>
      <c r="W219" s="30">
        <f>1976773500</f>
        <v>1976773500</v>
      </c>
      <c r="X219" s="34" t="str">
        <f>"－"</f>
        <v>－</v>
      </c>
    </row>
    <row r="220" spans="1:24">
      <c r="A220" s="25" t="s">
        <v>1128</v>
      </c>
      <c r="B220" s="25" t="s">
        <v>1027</v>
      </c>
      <c r="C220" s="25" t="s">
        <v>1028</v>
      </c>
      <c r="D220" s="25" t="s">
        <v>1029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10</v>
      </c>
      <c r="K220" s="31">
        <f>5020</f>
        <v>5020</v>
      </c>
      <c r="L220" s="32" t="s">
        <v>676</v>
      </c>
      <c r="M220" s="31">
        <f>5106</f>
        <v>5106</v>
      </c>
      <c r="N220" s="32" t="s">
        <v>676</v>
      </c>
      <c r="O220" s="31">
        <f>5020</f>
        <v>5020</v>
      </c>
      <c r="P220" s="32" t="s">
        <v>676</v>
      </c>
      <c r="Q220" s="31">
        <f>5106</f>
        <v>5106</v>
      </c>
      <c r="R220" s="32" t="s">
        <v>676</v>
      </c>
      <c r="S220" s="33">
        <f>5106</f>
        <v>5106</v>
      </c>
      <c r="T220" s="30">
        <f>20</f>
        <v>20</v>
      </c>
      <c r="U220" s="30" t="str">
        <f>"－"</f>
        <v>－</v>
      </c>
      <c r="V220" s="30">
        <f>101260</f>
        <v>101260</v>
      </c>
      <c r="W220" s="30" t="str">
        <f>"－"</f>
        <v>－</v>
      </c>
      <c r="X220" s="34">
        <f>1</f>
        <v>1</v>
      </c>
    </row>
    <row r="221" spans="1:24">
      <c r="A221" s="25" t="s">
        <v>1128</v>
      </c>
      <c r="B221" s="25" t="s">
        <v>1053</v>
      </c>
      <c r="C221" s="25" t="s">
        <v>1052</v>
      </c>
      <c r="D221" s="25" t="s">
        <v>1051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10</v>
      </c>
      <c r="K221" s="31">
        <f>4984</f>
        <v>4984</v>
      </c>
      <c r="L221" s="32" t="s">
        <v>1110</v>
      </c>
      <c r="M221" s="31">
        <f>5060</f>
        <v>5060</v>
      </c>
      <c r="N221" s="32" t="s">
        <v>1112</v>
      </c>
      <c r="O221" s="31">
        <f>4877</f>
        <v>4877</v>
      </c>
      <c r="P221" s="32" t="s">
        <v>684</v>
      </c>
      <c r="Q221" s="31">
        <f>5040</f>
        <v>5040</v>
      </c>
      <c r="R221" s="32" t="s">
        <v>883</v>
      </c>
      <c r="S221" s="33">
        <f>4978.6</f>
        <v>4978.6000000000004</v>
      </c>
      <c r="T221" s="30">
        <f>271050</f>
        <v>271050</v>
      </c>
      <c r="U221" s="30">
        <f>200320</f>
        <v>200320</v>
      </c>
      <c r="V221" s="30">
        <f>1347058325</f>
        <v>1347058325</v>
      </c>
      <c r="W221" s="30">
        <f>996327405</f>
        <v>996327405</v>
      </c>
      <c r="X221" s="34">
        <f>20</f>
        <v>20</v>
      </c>
    </row>
    <row r="222" spans="1:24">
      <c r="A222" s="25" t="s">
        <v>1128</v>
      </c>
      <c r="B222" s="25" t="s">
        <v>1050</v>
      </c>
      <c r="C222" s="25" t="s">
        <v>1049</v>
      </c>
      <c r="D222" s="25" t="s">
        <v>1048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</v>
      </c>
      <c r="K222" s="31">
        <f>1047</f>
        <v>1047</v>
      </c>
      <c r="L222" s="32" t="s">
        <v>1110</v>
      </c>
      <c r="M222" s="31">
        <f>1057</f>
        <v>1057</v>
      </c>
      <c r="N222" s="32" t="s">
        <v>1115</v>
      </c>
      <c r="O222" s="31">
        <f>953</f>
        <v>953</v>
      </c>
      <c r="P222" s="32" t="s">
        <v>679</v>
      </c>
      <c r="Q222" s="31">
        <f>966</f>
        <v>966</v>
      </c>
      <c r="R222" s="32" t="s">
        <v>883</v>
      </c>
      <c r="S222" s="33">
        <f>1005.75</f>
        <v>1005.75</v>
      </c>
      <c r="T222" s="30">
        <f>260973</f>
        <v>260973</v>
      </c>
      <c r="U222" s="30" t="str">
        <f>"－"</f>
        <v>－</v>
      </c>
      <c r="V222" s="30">
        <f>268499563</f>
        <v>268499563</v>
      </c>
      <c r="W222" s="30" t="str">
        <f>"－"</f>
        <v>－</v>
      </c>
      <c r="X222" s="34">
        <f>20</f>
        <v>20</v>
      </c>
    </row>
    <row r="223" spans="1:24">
      <c r="A223" s="25" t="s">
        <v>1128</v>
      </c>
      <c r="B223" s="25" t="s">
        <v>1047</v>
      </c>
      <c r="C223" s="25" t="s">
        <v>1046</v>
      </c>
      <c r="D223" s="25" t="s">
        <v>1045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</v>
      </c>
      <c r="K223" s="31">
        <f>1126</f>
        <v>1126</v>
      </c>
      <c r="L223" s="32" t="s">
        <v>1110</v>
      </c>
      <c r="M223" s="31">
        <f>1166</f>
        <v>1166</v>
      </c>
      <c r="N223" s="32" t="s">
        <v>883</v>
      </c>
      <c r="O223" s="31">
        <f>1109</f>
        <v>1109</v>
      </c>
      <c r="P223" s="32" t="s">
        <v>1110</v>
      </c>
      <c r="Q223" s="31">
        <f>1165</f>
        <v>1165</v>
      </c>
      <c r="R223" s="32" t="s">
        <v>883</v>
      </c>
      <c r="S223" s="33">
        <f>1137.35</f>
        <v>1137.3499999999999</v>
      </c>
      <c r="T223" s="30">
        <f>483081</f>
        <v>483081</v>
      </c>
      <c r="U223" s="30">
        <f>100</f>
        <v>100</v>
      </c>
      <c r="V223" s="30">
        <f>546731509</f>
        <v>546731509</v>
      </c>
      <c r="W223" s="30">
        <f>106300</f>
        <v>106300</v>
      </c>
      <c r="X223" s="34">
        <f>20</f>
        <v>20</v>
      </c>
    </row>
    <row r="224" spans="1:24">
      <c r="A224" s="25" t="s">
        <v>1128</v>
      </c>
      <c r="B224" s="25" t="s">
        <v>1044</v>
      </c>
      <c r="C224" s="25" t="s">
        <v>1043</v>
      </c>
      <c r="D224" s="25" t="s">
        <v>1042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</v>
      </c>
      <c r="K224" s="31">
        <f>950</f>
        <v>950</v>
      </c>
      <c r="L224" s="32" t="s">
        <v>1110</v>
      </c>
      <c r="M224" s="31">
        <f>997</f>
        <v>997</v>
      </c>
      <c r="N224" s="32" t="s">
        <v>1111</v>
      </c>
      <c r="O224" s="31">
        <f>913</f>
        <v>913</v>
      </c>
      <c r="P224" s="32" t="s">
        <v>1123</v>
      </c>
      <c r="Q224" s="31">
        <f>978</f>
        <v>978</v>
      </c>
      <c r="R224" s="32" t="s">
        <v>883</v>
      </c>
      <c r="S224" s="33">
        <f>952.8</f>
        <v>952.8</v>
      </c>
      <c r="T224" s="30">
        <f>29137</f>
        <v>29137</v>
      </c>
      <c r="U224" s="30" t="str">
        <f>"－"</f>
        <v>－</v>
      </c>
      <c r="V224" s="30">
        <f>27236333</f>
        <v>27236333</v>
      </c>
      <c r="W224" s="30" t="str">
        <f>"－"</f>
        <v>－</v>
      </c>
      <c r="X224" s="34">
        <f>20</f>
        <v>20</v>
      </c>
    </row>
    <row r="225" spans="1:24">
      <c r="A225" s="25" t="s">
        <v>1128</v>
      </c>
      <c r="B225" s="25" t="s">
        <v>1041</v>
      </c>
      <c r="C225" s="25" t="s">
        <v>1040</v>
      </c>
      <c r="D225" s="25" t="s">
        <v>1039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</v>
      </c>
      <c r="K225" s="31">
        <f>947</f>
        <v>947</v>
      </c>
      <c r="L225" s="32" t="s">
        <v>1110</v>
      </c>
      <c r="M225" s="31">
        <f>1037</f>
        <v>1037</v>
      </c>
      <c r="N225" s="32" t="s">
        <v>883</v>
      </c>
      <c r="O225" s="31">
        <f>917</f>
        <v>917</v>
      </c>
      <c r="P225" s="32" t="s">
        <v>1123</v>
      </c>
      <c r="Q225" s="31">
        <f>1021</f>
        <v>1021</v>
      </c>
      <c r="R225" s="32" t="s">
        <v>883</v>
      </c>
      <c r="S225" s="33">
        <f>972.9</f>
        <v>972.9</v>
      </c>
      <c r="T225" s="30">
        <f>76616</f>
        <v>76616</v>
      </c>
      <c r="U225" s="30" t="str">
        <f>"－"</f>
        <v>－</v>
      </c>
      <c r="V225" s="30">
        <f>75060642</f>
        <v>75060642</v>
      </c>
      <c r="W225" s="30" t="str">
        <f>"－"</f>
        <v>－</v>
      </c>
      <c r="X225" s="34">
        <f>20</f>
        <v>20</v>
      </c>
    </row>
    <row r="226" spans="1:24">
      <c r="A226" s="25" t="s">
        <v>1128</v>
      </c>
      <c r="B226" s="25" t="s">
        <v>1038</v>
      </c>
      <c r="C226" s="25" t="s">
        <v>1037</v>
      </c>
      <c r="D226" s="25" t="s">
        <v>1036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</v>
      </c>
      <c r="K226" s="31">
        <f>979</f>
        <v>979</v>
      </c>
      <c r="L226" s="32" t="s">
        <v>1110</v>
      </c>
      <c r="M226" s="31">
        <f>1079</f>
        <v>1079</v>
      </c>
      <c r="N226" s="32" t="s">
        <v>1111</v>
      </c>
      <c r="O226" s="31">
        <f>966</f>
        <v>966</v>
      </c>
      <c r="P226" s="32" t="s">
        <v>1110</v>
      </c>
      <c r="Q226" s="31">
        <f>1044</f>
        <v>1044</v>
      </c>
      <c r="R226" s="32" t="s">
        <v>883</v>
      </c>
      <c r="S226" s="33">
        <f>1006.6</f>
        <v>1006.6</v>
      </c>
      <c r="T226" s="30">
        <f>140436</f>
        <v>140436</v>
      </c>
      <c r="U226" s="30">
        <f>4</f>
        <v>4</v>
      </c>
      <c r="V226" s="30">
        <f>144750462</f>
        <v>144750462</v>
      </c>
      <c r="W226" s="30">
        <f>4064</f>
        <v>4064</v>
      </c>
      <c r="X226" s="34">
        <f>20</f>
        <v>20</v>
      </c>
    </row>
    <row r="227" spans="1:24">
      <c r="A227" s="25" t="s">
        <v>1128</v>
      </c>
      <c r="B227" s="25" t="s">
        <v>868</v>
      </c>
      <c r="C227" s="25" t="s">
        <v>869</v>
      </c>
      <c r="D227" s="25" t="s">
        <v>870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10</v>
      </c>
      <c r="K227" s="31">
        <f>2544.5</f>
        <v>2544.5</v>
      </c>
      <c r="L227" s="32" t="s">
        <v>1110</v>
      </c>
      <c r="M227" s="31">
        <f>2632</f>
        <v>2632</v>
      </c>
      <c r="N227" s="32" t="s">
        <v>874</v>
      </c>
      <c r="O227" s="31">
        <f>2472.5</f>
        <v>2472.5</v>
      </c>
      <c r="P227" s="32" t="s">
        <v>684</v>
      </c>
      <c r="Q227" s="31">
        <f>2617</f>
        <v>2617</v>
      </c>
      <c r="R227" s="32" t="s">
        <v>883</v>
      </c>
      <c r="S227" s="33">
        <f>2552.65</f>
        <v>2552.65</v>
      </c>
      <c r="T227" s="30">
        <f>33890</f>
        <v>33890</v>
      </c>
      <c r="U227" s="30" t="str">
        <f>"－"</f>
        <v>－</v>
      </c>
      <c r="V227" s="30">
        <f>86595900</f>
        <v>86595900</v>
      </c>
      <c r="W227" s="30" t="str">
        <f>"－"</f>
        <v>－</v>
      </c>
      <c r="X227" s="34">
        <f>20</f>
        <v>20</v>
      </c>
    </row>
    <row r="228" spans="1:24">
      <c r="A228" s="25" t="s">
        <v>1128</v>
      </c>
      <c r="B228" s="25" t="s">
        <v>871</v>
      </c>
      <c r="C228" s="25" t="s">
        <v>872</v>
      </c>
      <c r="D228" s="25" t="s">
        <v>873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</v>
      </c>
      <c r="K228" s="31">
        <f>1189</f>
        <v>1189</v>
      </c>
      <c r="L228" s="32" t="s">
        <v>1110</v>
      </c>
      <c r="M228" s="31">
        <f>1259</f>
        <v>1259</v>
      </c>
      <c r="N228" s="32" t="s">
        <v>883</v>
      </c>
      <c r="O228" s="31">
        <f>1174</f>
        <v>1174</v>
      </c>
      <c r="P228" s="32" t="s">
        <v>684</v>
      </c>
      <c r="Q228" s="31">
        <f>1250</f>
        <v>1250</v>
      </c>
      <c r="R228" s="32" t="s">
        <v>883</v>
      </c>
      <c r="S228" s="33">
        <f>1205.8</f>
        <v>1205.8</v>
      </c>
      <c r="T228" s="30">
        <f>919868</f>
        <v>919868</v>
      </c>
      <c r="U228" s="30">
        <f>25005</f>
        <v>25005</v>
      </c>
      <c r="V228" s="30">
        <f>1100191870</f>
        <v>1100191870</v>
      </c>
      <c r="W228" s="30">
        <f>30722439</f>
        <v>30722439</v>
      </c>
      <c r="X228" s="34">
        <f>20</f>
        <v>20</v>
      </c>
    </row>
    <row r="229" spans="1:24">
      <c r="A229" s="25" t="s">
        <v>1128</v>
      </c>
      <c r="B229" s="25" t="s">
        <v>877</v>
      </c>
      <c r="C229" s="25" t="s">
        <v>878</v>
      </c>
      <c r="D229" s="25" t="s">
        <v>879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</v>
      </c>
      <c r="K229" s="31">
        <f>71060</f>
        <v>71060</v>
      </c>
      <c r="L229" s="32" t="s">
        <v>1110</v>
      </c>
      <c r="M229" s="31">
        <f>76300</f>
        <v>76300</v>
      </c>
      <c r="N229" s="32" t="s">
        <v>883</v>
      </c>
      <c r="O229" s="31">
        <f>70650</f>
        <v>70650</v>
      </c>
      <c r="P229" s="32" t="s">
        <v>1124</v>
      </c>
      <c r="Q229" s="31">
        <f>75000</f>
        <v>75000</v>
      </c>
      <c r="R229" s="32" t="s">
        <v>883</v>
      </c>
      <c r="S229" s="33">
        <f>73018.5</f>
        <v>73018.5</v>
      </c>
      <c r="T229" s="30">
        <f>26220</f>
        <v>26220</v>
      </c>
      <c r="U229" s="30" t="str">
        <f>"－"</f>
        <v>－</v>
      </c>
      <c r="V229" s="30">
        <f>1912806100</f>
        <v>1912806100</v>
      </c>
      <c r="W229" s="30" t="str">
        <f>"－"</f>
        <v>－</v>
      </c>
      <c r="X229" s="34">
        <f>20</f>
        <v>20</v>
      </c>
    </row>
    <row r="230" spans="1:24">
      <c r="A230" s="25" t="s">
        <v>1128</v>
      </c>
      <c r="B230" s="25" t="s">
        <v>880</v>
      </c>
      <c r="C230" s="25" t="s">
        <v>881</v>
      </c>
      <c r="D230" s="25" t="s">
        <v>882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</v>
      </c>
      <c r="K230" s="31">
        <f>7783</f>
        <v>7783</v>
      </c>
      <c r="L230" s="32" t="s">
        <v>1110</v>
      </c>
      <c r="M230" s="31">
        <f>7795</f>
        <v>7795</v>
      </c>
      <c r="N230" s="32" t="s">
        <v>1124</v>
      </c>
      <c r="O230" s="31">
        <f>7540</f>
        <v>7540</v>
      </c>
      <c r="P230" s="32" t="s">
        <v>883</v>
      </c>
      <c r="Q230" s="31">
        <f>7568</f>
        <v>7568</v>
      </c>
      <c r="R230" s="32" t="s">
        <v>883</v>
      </c>
      <c r="S230" s="33">
        <f>7667.15</f>
        <v>7667.15</v>
      </c>
      <c r="T230" s="30">
        <f>351926</f>
        <v>351926</v>
      </c>
      <c r="U230" s="30">
        <f>323967</f>
        <v>323967</v>
      </c>
      <c r="V230" s="30">
        <f>2715197902</f>
        <v>2715197902</v>
      </c>
      <c r="W230" s="30">
        <f>2500878006</f>
        <v>2500878006</v>
      </c>
      <c r="X230" s="34">
        <f>20</f>
        <v>20</v>
      </c>
    </row>
    <row r="231" spans="1:24">
      <c r="A231" s="25" t="s">
        <v>1128</v>
      </c>
      <c r="B231" s="25" t="s">
        <v>884</v>
      </c>
      <c r="C231" s="25" t="s">
        <v>885</v>
      </c>
      <c r="D231" s="25" t="s">
        <v>886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10</v>
      </c>
      <c r="K231" s="31">
        <f>15280</f>
        <v>15280</v>
      </c>
      <c r="L231" s="32" t="s">
        <v>1110</v>
      </c>
      <c r="M231" s="31">
        <f>16995</f>
        <v>16995</v>
      </c>
      <c r="N231" s="32" t="s">
        <v>883</v>
      </c>
      <c r="O231" s="31">
        <f>15080</f>
        <v>15080</v>
      </c>
      <c r="P231" s="32" t="s">
        <v>1124</v>
      </c>
      <c r="Q231" s="31">
        <f>16165</f>
        <v>16165</v>
      </c>
      <c r="R231" s="32" t="s">
        <v>883</v>
      </c>
      <c r="S231" s="33">
        <f>15727.75</f>
        <v>15727.75</v>
      </c>
      <c r="T231" s="30">
        <f>37340</f>
        <v>37340</v>
      </c>
      <c r="U231" s="30" t="str">
        <f>"－"</f>
        <v>－</v>
      </c>
      <c r="V231" s="30">
        <f>585778200</f>
        <v>585778200</v>
      </c>
      <c r="W231" s="30" t="str">
        <f>"－"</f>
        <v>－</v>
      </c>
      <c r="X231" s="34">
        <f>20</f>
        <v>20</v>
      </c>
    </row>
    <row r="232" spans="1:24">
      <c r="A232" s="25" t="s">
        <v>1128</v>
      </c>
      <c r="B232" s="25" t="s">
        <v>887</v>
      </c>
      <c r="C232" s="25" t="s">
        <v>888</v>
      </c>
      <c r="D232" s="25" t="s">
        <v>889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10</v>
      </c>
      <c r="K232" s="31">
        <f>7829</f>
        <v>7829</v>
      </c>
      <c r="L232" s="32" t="s">
        <v>1110</v>
      </c>
      <c r="M232" s="31">
        <f>7858</f>
        <v>7858</v>
      </c>
      <c r="N232" s="32" t="s">
        <v>674</v>
      </c>
      <c r="O232" s="31">
        <f>7589</f>
        <v>7589</v>
      </c>
      <c r="P232" s="32" t="s">
        <v>883</v>
      </c>
      <c r="Q232" s="31">
        <f>7589</f>
        <v>7589</v>
      </c>
      <c r="R232" s="32" t="s">
        <v>883</v>
      </c>
      <c r="S232" s="33">
        <f>7713.55</f>
        <v>7713.55</v>
      </c>
      <c r="T232" s="30">
        <f>556440</f>
        <v>556440</v>
      </c>
      <c r="U232" s="30">
        <f>525020</f>
        <v>525020</v>
      </c>
      <c r="V232" s="30">
        <f>4296082542</f>
        <v>4296082542</v>
      </c>
      <c r="W232" s="30">
        <f>4057054402</f>
        <v>4057054402</v>
      </c>
      <c r="X232" s="34">
        <f>20</f>
        <v>20</v>
      </c>
    </row>
    <row r="233" spans="1:24">
      <c r="A233" s="25" t="s">
        <v>1128</v>
      </c>
      <c r="B233" s="25" t="s">
        <v>890</v>
      </c>
      <c r="C233" s="25" t="s">
        <v>891</v>
      </c>
      <c r="D233" s="25" t="s">
        <v>892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10</v>
      </c>
      <c r="K233" s="31">
        <f>653.2</f>
        <v>653.20000000000005</v>
      </c>
      <c r="L233" s="32" t="s">
        <v>1110</v>
      </c>
      <c r="M233" s="31">
        <f>717.6</f>
        <v>717.6</v>
      </c>
      <c r="N233" s="32" t="s">
        <v>883</v>
      </c>
      <c r="O233" s="31">
        <f>634.2</f>
        <v>634.20000000000005</v>
      </c>
      <c r="P233" s="32" t="s">
        <v>684</v>
      </c>
      <c r="Q233" s="31">
        <f>672.7</f>
        <v>672.7</v>
      </c>
      <c r="R233" s="32" t="s">
        <v>883</v>
      </c>
      <c r="S233" s="33">
        <f>654.69</f>
        <v>654.69000000000005</v>
      </c>
      <c r="T233" s="30">
        <f>2843070</f>
        <v>2843070</v>
      </c>
      <c r="U233" s="30">
        <f>150000</f>
        <v>150000</v>
      </c>
      <c r="V233" s="30">
        <f>1878076333</f>
        <v>1878076333</v>
      </c>
      <c r="W233" s="30">
        <f>100035817</f>
        <v>100035817</v>
      </c>
      <c r="X233" s="34">
        <f>20</f>
        <v>20</v>
      </c>
    </row>
    <row r="234" spans="1:24">
      <c r="A234" s="25" t="s">
        <v>1128</v>
      </c>
      <c r="B234" s="25" t="s">
        <v>893</v>
      </c>
      <c r="C234" s="25" t="s">
        <v>894</v>
      </c>
      <c r="D234" s="25" t="s">
        <v>895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10</v>
      </c>
      <c r="K234" s="31">
        <f>559.8</f>
        <v>559.79999999999995</v>
      </c>
      <c r="L234" s="32" t="s">
        <v>1110</v>
      </c>
      <c r="M234" s="31">
        <f>579.3</f>
        <v>579.29999999999995</v>
      </c>
      <c r="N234" s="32" t="s">
        <v>883</v>
      </c>
      <c r="O234" s="31">
        <f>553.9</f>
        <v>553.9</v>
      </c>
      <c r="P234" s="32" t="s">
        <v>1124</v>
      </c>
      <c r="Q234" s="31">
        <f>571.7</f>
        <v>571.70000000000005</v>
      </c>
      <c r="R234" s="32" t="s">
        <v>883</v>
      </c>
      <c r="S234" s="33">
        <f>561.42</f>
        <v>561.41999999999996</v>
      </c>
      <c r="T234" s="30">
        <f>972470</f>
        <v>972470</v>
      </c>
      <c r="U234" s="30">
        <f>60</f>
        <v>60</v>
      </c>
      <c r="V234" s="30">
        <f>545898919</f>
        <v>545898919</v>
      </c>
      <c r="W234" s="30">
        <f>33654</f>
        <v>33654</v>
      </c>
      <c r="X234" s="34">
        <f>20</f>
        <v>20</v>
      </c>
    </row>
    <row r="235" spans="1:24">
      <c r="A235" s="25" t="s">
        <v>1128</v>
      </c>
      <c r="B235" s="25" t="s">
        <v>934</v>
      </c>
      <c r="C235" s="25" t="s">
        <v>935</v>
      </c>
      <c r="D235" s="25" t="s">
        <v>936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</v>
      </c>
      <c r="K235" s="31">
        <f>1699</f>
        <v>1699</v>
      </c>
      <c r="L235" s="32" t="s">
        <v>1110</v>
      </c>
      <c r="M235" s="31">
        <f>1829</f>
        <v>1829</v>
      </c>
      <c r="N235" s="32" t="s">
        <v>1113</v>
      </c>
      <c r="O235" s="31">
        <f>1685</f>
        <v>1685</v>
      </c>
      <c r="P235" s="32" t="s">
        <v>680</v>
      </c>
      <c r="Q235" s="31">
        <f>1776</f>
        <v>1776</v>
      </c>
      <c r="R235" s="32" t="s">
        <v>883</v>
      </c>
      <c r="S235" s="33">
        <f>1758.1</f>
        <v>1758.1</v>
      </c>
      <c r="T235" s="30">
        <f>15903189</f>
        <v>15903189</v>
      </c>
      <c r="U235" s="30">
        <f>826958</f>
        <v>826958</v>
      </c>
      <c r="V235" s="30">
        <f>27987579264</f>
        <v>27987579264</v>
      </c>
      <c r="W235" s="30">
        <f>1438203726</f>
        <v>1438203726</v>
      </c>
      <c r="X235" s="34">
        <f>20</f>
        <v>20</v>
      </c>
    </row>
    <row r="236" spans="1:24">
      <c r="A236" s="25" t="s">
        <v>1128</v>
      </c>
      <c r="B236" s="25" t="s">
        <v>937</v>
      </c>
      <c r="C236" s="25" t="s">
        <v>938</v>
      </c>
      <c r="D236" s="25" t="s">
        <v>939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1823</f>
        <v>1823</v>
      </c>
      <c r="L236" s="32" t="s">
        <v>1110</v>
      </c>
      <c r="M236" s="31">
        <f>1882</f>
        <v>1882</v>
      </c>
      <c r="N236" s="32" t="s">
        <v>679</v>
      </c>
      <c r="O236" s="31">
        <f>1771</f>
        <v>1771</v>
      </c>
      <c r="P236" s="32" t="s">
        <v>684</v>
      </c>
      <c r="Q236" s="31">
        <f>1859</f>
        <v>1859</v>
      </c>
      <c r="R236" s="32" t="s">
        <v>883</v>
      </c>
      <c r="S236" s="33">
        <f>1836.85</f>
        <v>1836.85</v>
      </c>
      <c r="T236" s="30">
        <f>15231915</f>
        <v>15231915</v>
      </c>
      <c r="U236" s="30">
        <f>1629</f>
        <v>1629</v>
      </c>
      <c r="V236" s="30">
        <f>27922353755</f>
        <v>27922353755</v>
      </c>
      <c r="W236" s="30">
        <f>2970807</f>
        <v>2970807</v>
      </c>
      <c r="X236" s="34">
        <f>20</f>
        <v>20</v>
      </c>
    </row>
    <row r="237" spans="1:24">
      <c r="A237" s="25" t="s">
        <v>1128</v>
      </c>
      <c r="B237" s="25" t="s">
        <v>940</v>
      </c>
      <c r="C237" s="25" t="s">
        <v>941</v>
      </c>
      <c r="D237" s="25" t="s">
        <v>942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10</v>
      </c>
      <c r="K237" s="31">
        <f>789.9</f>
        <v>789.9</v>
      </c>
      <c r="L237" s="32" t="s">
        <v>1110</v>
      </c>
      <c r="M237" s="31">
        <f>795.5</f>
        <v>795.5</v>
      </c>
      <c r="N237" s="32" t="s">
        <v>883</v>
      </c>
      <c r="O237" s="31">
        <f>776.5</f>
        <v>776.5</v>
      </c>
      <c r="P237" s="32" t="s">
        <v>680</v>
      </c>
      <c r="Q237" s="31">
        <f>785</f>
        <v>785</v>
      </c>
      <c r="R237" s="32" t="s">
        <v>883</v>
      </c>
      <c r="S237" s="33">
        <f>782.46</f>
        <v>782.46</v>
      </c>
      <c r="T237" s="30">
        <f>26660</f>
        <v>26660</v>
      </c>
      <c r="U237" s="30" t="str">
        <f>"－"</f>
        <v>－</v>
      </c>
      <c r="V237" s="30">
        <f>20760344</f>
        <v>20760344</v>
      </c>
      <c r="W237" s="30" t="str">
        <f>"－"</f>
        <v>－</v>
      </c>
      <c r="X237" s="34">
        <f>12</f>
        <v>12</v>
      </c>
    </row>
    <row r="238" spans="1:24">
      <c r="A238" s="25" t="s">
        <v>1128</v>
      </c>
      <c r="B238" s="25" t="s">
        <v>943</v>
      </c>
      <c r="C238" s="25" t="s">
        <v>944</v>
      </c>
      <c r="D238" s="25" t="s">
        <v>945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10</v>
      </c>
      <c r="K238" s="31">
        <f>795</f>
        <v>795</v>
      </c>
      <c r="L238" s="32" t="s">
        <v>1110</v>
      </c>
      <c r="M238" s="31">
        <f>810</f>
        <v>810</v>
      </c>
      <c r="N238" s="32" t="s">
        <v>875</v>
      </c>
      <c r="O238" s="31">
        <f>784.1</f>
        <v>784.1</v>
      </c>
      <c r="P238" s="32" t="s">
        <v>678</v>
      </c>
      <c r="Q238" s="31">
        <f>790</f>
        <v>790</v>
      </c>
      <c r="R238" s="32" t="s">
        <v>883</v>
      </c>
      <c r="S238" s="33">
        <f>791.78</f>
        <v>791.78</v>
      </c>
      <c r="T238" s="30">
        <f>520</f>
        <v>520</v>
      </c>
      <c r="U238" s="30" t="str">
        <f>"－"</f>
        <v>－</v>
      </c>
      <c r="V238" s="30">
        <f>411868</f>
        <v>411868</v>
      </c>
      <c r="W238" s="30" t="str">
        <f>"－"</f>
        <v>－</v>
      </c>
      <c r="X238" s="34">
        <f>12</f>
        <v>12</v>
      </c>
    </row>
    <row r="239" spans="1:24">
      <c r="A239" s="25" t="s">
        <v>1128</v>
      </c>
      <c r="B239" s="25" t="s">
        <v>952</v>
      </c>
      <c r="C239" s="25" t="s">
        <v>953</v>
      </c>
      <c r="D239" s="25" t="s">
        <v>954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</v>
      </c>
      <c r="K239" s="31">
        <f>14355</f>
        <v>14355</v>
      </c>
      <c r="L239" s="32" t="s">
        <v>1110</v>
      </c>
      <c r="M239" s="31">
        <f>15050</f>
        <v>15050</v>
      </c>
      <c r="N239" s="32" t="s">
        <v>883</v>
      </c>
      <c r="O239" s="31">
        <f>14075</f>
        <v>14075</v>
      </c>
      <c r="P239" s="32" t="s">
        <v>684</v>
      </c>
      <c r="Q239" s="31">
        <f>15000</f>
        <v>15000</v>
      </c>
      <c r="R239" s="32" t="s">
        <v>883</v>
      </c>
      <c r="S239" s="33">
        <f>14527.75</f>
        <v>14527.75</v>
      </c>
      <c r="T239" s="30">
        <f>169486</f>
        <v>169486</v>
      </c>
      <c r="U239" s="30">
        <f>2</f>
        <v>2</v>
      </c>
      <c r="V239" s="30">
        <f>2476095150</f>
        <v>2476095150</v>
      </c>
      <c r="W239" s="30">
        <f>29885</f>
        <v>29885</v>
      </c>
      <c r="X239" s="34">
        <f>20</f>
        <v>20</v>
      </c>
    </row>
    <row r="240" spans="1:24">
      <c r="A240" s="25" t="s">
        <v>1128</v>
      </c>
      <c r="B240" s="25" t="s">
        <v>955</v>
      </c>
      <c r="C240" s="25" t="s">
        <v>956</v>
      </c>
      <c r="D240" s="25" t="s">
        <v>957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</v>
      </c>
      <c r="K240" s="31">
        <f>40920</f>
        <v>40920</v>
      </c>
      <c r="L240" s="32" t="s">
        <v>1110</v>
      </c>
      <c r="M240" s="31">
        <f>41920</f>
        <v>41920</v>
      </c>
      <c r="N240" s="32" t="s">
        <v>883</v>
      </c>
      <c r="O240" s="31">
        <f>40760</f>
        <v>40760</v>
      </c>
      <c r="P240" s="32" t="s">
        <v>1124</v>
      </c>
      <c r="Q240" s="31">
        <f>41910</f>
        <v>41910</v>
      </c>
      <c r="R240" s="32" t="s">
        <v>883</v>
      </c>
      <c r="S240" s="33">
        <f>41287.37</f>
        <v>41287.370000000003</v>
      </c>
      <c r="T240" s="30">
        <f>6904</f>
        <v>6904</v>
      </c>
      <c r="U240" s="30">
        <f>2</f>
        <v>2</v>
      </c>
      <c r="V240" s="30">
        <f>286437210</f>
        <v>286437210</v>
      </c>
      <c r="W240" s="30">
        <f>82890</f>
        <v>82890</v>
      </c>
      <c r="X240" s="34">
        <f>19</f>
        <v>19</v>
      </c>
    </row>
    <row r="241" spans="1:24">
      <c r="A241" s="25" t="s">
        <v>1128</v>
      </c>
      <c r="B241" s="25" t="s">
        <v>958</v>
      </c>
      <c r="C241" s="25" t="s">
        <v>959</v>
      </c>
      <c r="D241" s="25" t="s">
        <v>960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22275</f>
        <v>22275</v>
      </c>
      <c r="L241" s="32" t="s">
        <v>1110</v>
      </c>
      <c r="M241" s="31">
        <f>22800</f>
        <v>22800</v>
      </c>
      <c r="N241" s="32" t="s">
        <v>1124</v>
      </c>
      <c r="O241" s="31">
        <f>20920</f>
        <v>20920</v>
      </c>
      <c r="P241" s="32" t="s">
        <v>883</v>
      </c>
      <c r="Q241" s="31">
        <f>21045</f>
        <v>21045</v>
      </c>
      <c r="R241" s="32" t="s">
        <v>883</v>
      </c>
      <c r="S241" s="33">
        <f>21603.25</f>
        <v>21603.25</v>
      </c>
      <c r="T241" s="30">
        <f>33822</f>
        <v>33822</v>
      </c>
      <c r="U241" s="30" t="str">
        <f>"－"</f>
        <v>－</v>
      </c>
      <c r="V241" s="30">
        <f>736302930</f>
        <v>736302930</v>
      </c>
      <c r="W241" s="30" t="str">
        <f>"－"</f>
        <v>－</v>
      </c>
      <c r="X241" s="34">
        <f>20</f>
        <v>20</v>
      </c>
    </row>
    <row r="242" spans="1:24">
      <c r="A242" s="25" t="s">
        <v>1128</v>
      </c>
      <c r="B242" s="25" t="s">
        <v>961</v>
      </c>
      <c r="C242" s="25" t="s">
        <v>962</v>
      </c>
      <c r="D242" s="25" t="s">
        <v>963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10</v>
      </c>
      <c r="K242" s="31">
        <f>239</f>
        <v>239</v>
      </c>
      <c r="L242" s="32" t="s">
        <v>1110</v>
      </c>
      <c r="M242" s="31">
        <f>244.9</f>
        <v>244.9</v>
      </c>
      <c r="N242" s="32" t="s">
        <v>874</v>
      </c>
      <c r="O242" s="31">
        <f>225</f>
        <v>225</v>
      </c>
      <c r="P242" s="32" t="s">
        <v>875</v>
      </c>
      <c r="Q242" s="31">
        <f>239.2</f>
        <v>239.2</v>
      </c>
      <c r="R242" s="32" t="s">
        <v>883</v>
      </c>
      <c r="S242" s="33">
        <f>235.57</f>
        <v>235.57</v>
      </c>
      <c r="T242" s="30">
        <f>215160</f>
        <v>215160</v>
      </c>
      <c r="U242" s="30" t="str">
        <f>"－"</f>
        <v>－</v>
      </c>
      <c r="V242" s="30">
        <f>49679869</f>
        <v>49679869</v>
      </c>
      <c r="W242" s="30" t="str">
        <f>"－"</f>
        <v>－</v>
      </c>
      <c r="X242" s="34">
        <f>20</f>
        <v>20</v>
      </c>
    </row>
    <row r="243" spans="1:24">
      <c r="A243" s="25" t="s">
        <v>1128</v>
      </c>
      <c r="B243" s="25" t="s">
        <v>964</v>
      </c>
      <c r="C243" s="25" t="s">
        <v>965</v>
      </c>
      <c r="D243" s="25" t="s">
        <v>966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10</v>
      </c>
      <c r="K243" s="31">
        <f>753.2</f>
        <v>753.2</v>
      </c>
      <c r="L243" s="32" t="s">
        <v>1110</v>
      </c>
      <c r="M243" s="31">
        <f>771.7</f>
        <v>771.7</v>
      </c>
      <c r="N243" s="32" t="s">
        <v>1117</v>
      </c>
      <c r="O243" s="31">
        <f>748</f>
        <v>748</v>
      </c>
      <c r="P243" s="32" t="s">
        <v>678</v>
      </c>
      <c r="Q243" s="31">
        <f>752.3</f>
        <v>752.3</v>
      </c>
      <c r="R243" s="32" t="s">
        <v>883</v>
      </c>
      <c r="S243" s="33">
        <f>753.4</f>
        <v>753.4</v>
      </c>
      <c r="T243" s="30">
        <f>1565990</f>
        <v>1565990</v>
      </c>
      <c r="U243" s="30">
        <f>1063000</f>
        <v>1063000</v>
      </c>
      <c r="V243" s="30">
        <f>1184297235</f>
        <v>1184297235</v>
      </c>
      <c r="W243" s="30">
        <f>804676240</f>
        <v>804676240</v>
      </c>
      <c r="X243" s="34">
        <f>20</f>
        <v>20</v>
      </c>
    </row>
    <row r="244" spans="1:24">
      <c r="A244" s="25" t="s">
        <v>1128</v>
      </c>
      <c r="B244" s="25" t="s">
        <v>982</v>
      </c>
      <c r="C244" s="25" t="s">
        <v>983</v>
      </c>
      <c r="D244" s="25" t="s">
        <v>984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</v>
      </c>
      <c r="K244" s="31">
        <f>1140</f>
        <v>1140</v>
      </c>
      <c r="L244" s="32" t="s">
        <v>1110</v>
      </c>
      <c r="M244" s="31">
        <f>1224</f>
        <v>1224</v>
      </c>
      <c r="N244" s="32" t="s">
        <v>883</v>
      </c>
      <c r="O244" s="31">
        <f>1124</f>
        <v>1124</v>
      </c>
      <c r="P244" s="32" t="s">
        <v>684</v>
      </c>
      <c r="Q244" s="31">
        <f>1200</f>
        <v>1200</v>
      </c>
      <c r="R244" s="32" t="s">
        <v>883</v>
      </c>
      <c r="S244" s="33">
        <f>1155.9</f>
        <v>1155.9000000000001</v>
      </c>
      <c r="T244" s="30">
        <f>355457</f>
        <v>355457</v>
      </c>
      <c r="U244" s="30" t="str">
        <f>"－"</f>
        <v>－</v>
      </c>
      <c r="V244" s="30">
        <f>404957651</f>
        <v>404957651</v>
      </c>
      <c r="W244" s="30" t="str">
        <f>"－"</f>
        <v>－</v>
      </c>
      <c r="X244" s="34">
        <f>20</f>
        <v>20</v>
      </c>
    </row>
    <row r="245" spans="1:24">
      <c r="A245" s="25" t="s">
        <v>1128</v>
      </c>
      <c r="B245" s="25" t="s">
        <v>985</v>
      </c>
      <c r="C245" s="25" t="s">
        <v>986</v>
      </c>
      <c r="D245" s="25" t="s">
        <v>987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</v>
      </c>
      <c r="K245" s="31">
        <f>1082</f>
        <v>1082</v>
      </c>
      <c r="L245" s="32" t="s">
        <v>1110</v>
      </c>
      <c r="M245" s="31">
        <f>1125</f>
        <v>1125</v>
      </c>
      <c r="N245" s="32" t="s">
        <v>883</v>
      </c>
      <c r="O245" s="31">
        <f>1070</f>
        <v>1070</v>
      </c>
      <c r="P245" s="32" t="s">
        <v>684</v>
      </c>
      <c r="Q245" s="31">
        <f>1124</f>
        <v>1124</v>
      </c>
      <c r="R245" s="32" t="s">
        <v>883</v>
      </c>
      <c r="S245" s="33">
        <f>1093.75</f>
        <v>1093.75</v>
      </c>
      <c r="T245" s="30">
        <f>611796</f>
        <v>611796</v>
      </c>
      <c r="U245" s="30" t="str">
        <f>"－"</f>
        <v>－</v>
      </c>
      <c r="V245" s="30">
        <f>662382786</f>
        <v>662382786</v>
      </c>
      <c r="W245" s="30" t="str">
        <f>"－"</f>
        <v>－</v>
      </c>
      <c r="X245" s="34">
        <f>20</f>
        <v>20</v>
      </c>
    </row>
    <row r="246" spans="1:24">
      <c r="A246" s="25" t="s">
        <v>1128</v>
      </c>
      <c r="B246" s="25" t="s">
        <v>988</v>
      </c>
      <c r="C246" s="25" t="s">
        <v>989</v>
      </c>
      <c r="D246" s="25" t="s">
        <v>990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</v>
      </c>
      <c r="K246" s="31">
        <f>758</f>
        <v>758</v>
      </c>
      <c r="L246" s="32" t="s">
        <v>1110</v>
      </c>
      <c r="M246" s="31">
        <f>841</f>
        <v>841</v>
      </c>
      <c r="N246" s="32" t="s">
        <v>1112</v>
      </c>
      <c r="O246" s="31">
        <f>736</f>
        <v>736</v>
      </c>
      <c r="P246" s="32" t="s">
        <v>1113</v>
      </c>
      <c r="Q246" s="31">
        <f>786</f>
        <v>786</v>
      </c>
      <c r="R246" s="32" t="s">
        <v>883</v>
      </c>
      <c r="S246" s="33">
        <f>789.55</f>
        <v>789.55</v>
      </c>
      <c r="T246" s="30">
        <f>425311</f>
        <v>425311</v>
      </c>
      <c r="U246" s="30">
        <f>150</f>
        <v>150</v>
      </c>
      <c r="V246" s="30">
        <f>332293349</f>
        <v>332293349</v>
      </c>
      <c r="W246" s="30">
        <f>115200</f>
        <v>115200</v>
      </c>
      <c r="X246" s="34">
        <f>20</f>
        <v>20</v>
      </c>
    </row>
    <row r="247" spans="1:24">
      <c r="A247" s="25" t="s">
        <v>1128</v>
      </c>
      <c r="B247" s="25" t="s">
        <v>1059</v>
      </c>
      <c r="C247" s="25" t="s">
        <v>1060</v>
      </c>
      <c r="D247" s="25" t="s">
        <v>1061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10</v>
      </c>
      <c r="K247" s="31">
        <f>212</f>
        <v>212</v>
      </c>
      <c r="L247" s="32" t="s">
        <v>1110</v>
      </c>
      <c r="M247" s="31">
        <f>218.2</f>
        <v>218.2</v>
      </c>
      <c r="N247" s="32" t="s">
        <v>674</v>
      </c>
      <c r="O247" s="31">
        <f>207.7</f>
        <v>207.7</v>
      </c>
      <c r="P247" s="32" t="s">
        <v>875</v>
      </c>
      <c r="Q247" s="31">
        <f>216.1</f>
        <v>216.1</v>
      </c>
      <c r="R247" s="32" t="s">
        <v>883</v>
      </c>
      <c r="S247" s="33">
        <f>213.1</f>
        <v>213.1</v>
      </c>
      <c r="T247" s="30">
        <f>8010260</f>
        <v>8010260</v>
      </c>
      <c r="U247" s="30">
        <f>10</f>
        <v>10</v>
      </c>
      <c r="V247" s="30">
        <f>1701393645</f>
        <v>1701393645</v>
      </c>
      <c r="W247" s="30">
        <f>2096</f>
        <v>2096</v>
      </c>
      <c r="X247" s="34">
        <f>20</f>
        <v>20</v>
      </c>
    </row>
    <row r="248" spans="1:24">
      <c r="A248" s="25" t="s">
        <v>1128</v>
      </c>
      <c r="B248" s="25" t="s">
        <v>1062</v>
      </c>
      <c r="C248" s="25" t="s">
        <v>1063</v>
      </c>
      <c r="D248" s="25" t="s">
        <v>1064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206.2</f>
        <v>206.2</v>
      </c>
      <c r="L248" s="32" t="s">
        <v>1110</v>
      </c>
      <c r="M248" s="31">
        <f>213.9</f>
        <v>213.9</v>
      </c>
      <c r="N248" s="32" t="s">
        <v>883</v>
      </c>
      <c r="O248" s="31">
        <f>204</f>
        <v>204</v>
      </c>
      <c r="P248" s="32" t="s">
        <v>677</v>
      </c>
      <c r="Q248" s="31">
        <f>213</f>
        <v>213</v>
      </c>
      <c r="R248" s="32" t="s">
        <v>883</v>
      </c>
      <c r="S248" s="33">
        <f>207.33</f>
        <v>207.33</v>
      </c>
      <c r="T248" s="30">
        <f>1251630</f>
        <v>1251630</v>
      </c>
      <c r="U248" s="30">
        <f>10</f>
        <v>10</v>
      </c>
      <c r="V248" s="30">
        <f>258071177</f>
        <v>258071177</v>
      </c>
      <c r="W248" s="30">
        <f>2062</f>
        <v>2062</v>
      </c>
      <c r="X248" s="34">
        <f>20</f>
        <v>20</v>
      </c>
    </row>
    <row r="249" spans="1:24">
      <c r="A249" s="25" t="s">
        <v>1128</v>
      </c>
      <c r="B249" s="25" t="s">
        <v>1065</v>
      </c>
      <c r="C249" s="25" t="s">
        <v>1066</v>
      </c>
      <c r="D249" s="25" t="s">
        <v>1067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207.3</f>
        <v>207.3</v>
      </c>
      <c r="L249" s="32" t="s">
        <v>1110</v>
      </c>
      <c r="M249" s="31">
        <f>212.9</f>
        <v>212.9</v>
      </c>
      <c r="N249" s="32" t="s">
        <v>883</v>
      </c>
      <c r="O249" s="31">
        <f>205.1</f>
        <v>205.1</v>
      </c>
      <c r="P249" s="32" t="s">
        <v>684</v>
      </c>
      <c r="Q249" s="31">
        <f>211.6</f>
        <v>211.6</v>
      </c>
      <c r="R249" s="32" t="s">
        <v>883</v>
      </c>
      <c r="S249" s="33">
        <f>208.43</f>
        <v>208.43</v>
      </c>
      <c r="T249" s="30">
        <f>590550</f>
        <v>590550</v>
      </c>
      <c r="U249" s="30">
        <f>500</f>
        <v>500</v>
      </c>
      <c r="V249" s="30">
        <f>123079544</f>
        <v>123079544</v>
      </c>
      <c r="W249" s="30">
        <f>99667</f>
        <v>99667</v>
      </c>
      <c r="X249" s="34">
        <f>20</f>
        <v>20</v>
      </c>
    </row>
    <row r="250" spans="1:24">
      <c r="A250" s="25" t="s">
        <v>1128</v>
      </c>
      <c r="B250" s="25" t="s">
        <v>1068</v>
      </c>
      <c r="C250" s="25" t="s">
        <v>1069</v>
      </c>
      <c r="D250" s="25" t="s">
        <v>1070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10</v>
      </c>
      <c r="K250" s="31">
        <f>208.8</f>
        <v>208.8</v>
      </c>
      <c r="L250" s="32" t="s">
        <v>1110</v>
      </c>
      <c r="M250" s="31">
        <f>217.5</f>
        <v>217.5</v>
      </c>
      <c r="N250" s="32" t="s">
        <v>674</v>
      </c>
      <c r="O250" s="31">
        <f>205</f>
        <v>205</v>
      </c>
      <c r="P250" s="32" t="s">
        <v>684</v>
      </c>
      <c r="Q250" s="31">
        <f>213.2</f>
        <v>213.2</v>
      </c>
      <c r="R250" s="32" t="s">
        <v>883</v>
      </c>
      <c r="S250" s="33">
        <f>209.59</f>
        <v>209.59</v>
      </c>
      <c r="T250" s="30">
        <f>676000</f>
        <v>676000</v>
      </c>
      <c r="U250" s="30">
        <f>15340</f>
        <v>15340</v>
      </c>
      <c r="V250" s="30">
        <f>141076537</f>
        <v>141076537</v>
      </c>
      <c r="W250" s="30">
        <f>3004479</f>
        <v>3004479</v>
      </c>
      <c r="X250" s="34">
        <f>20</f>
        <v>20</v>
      </c>
    </row>
    <row r="251" spans="1:24">
      <c r="A251" s="25" t="s">
        <v>1128</v>
      </c>
      <c r="B251" s="25" t="s">
        <v>1071</v>
      </c>
      <c r="C251" s="25" t="s">
        <v>1072</v>
      </c>
      <c r="D251" s="25" t="s">
        <v>1073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10</v>
      </c>
      <c r="K251" s="31">
        <f>202.6</f>
        <v>202.6</v>
      </c>
      <c r="L251" s="32" t="s">
        <v>675</v>
      </c>
      <c r="M251" s="31">
        <f>208</f>
        <v>208</v>
      </c>
      <c r="N251" s="32" t="s">
        <v>875</v>
      </c>
      <c r="O251" s="31">
        <f>202.6</f>
        <v>202.6</v>
      </c>
      <c r="P251" s="32" t="s">
        <v>675</v>
      </c>
      <c r="Q251" s="31">
        <f>204.3</f>
        <v>204.3</v>
      </c>
      <c r="R251" s="32" t="s">
        <v>1114</v>
      </c>
      <c r="S251" s="33">
        <f>204.19</f>
        <v>204.19</v>
      </c>
      <c r="T251" s="30">
        <f>1265980</f>
        <v>1265980</v>
      </c>
      <c r="U251" s="30">
        <f>1262470</f>
        <v>1262470</v>
      </c>
      <c r="V251" s="30">
        <f>257849819</f>
        <v>257849819</v>
      </c>
      <c r="W251" s="30">
        <f>257134680</f>
        <v>257134680</v>
      </c>
      <c r="X251" s="34">
        <f>14</f>
        <v>14</v>
      </c>
    </row>
    <row r="252" spans="1:24">
      <c r="A252" s="25" t="s">
        <v>1128</v>
      </c>
      <c r="B252" s="25" t="s">
        <v>539</v>
      </c>
      <c r="C252" s="25" t="s">
        <v>540</v>
      </c>
      <c r="D252" s="25" t="s">
        <v>541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10</v>
      </c>
      <c r="K252" s="31">
        <f>930</f>
        <v>930</v>
      </c>
      <c r="L252" s="32" t="s">
        <v>1110</v>
      </c>
      <c r="M252" s="31">
        <f>936.4</f>
        <v>936.4</v>
      </c>
      <c r="N252" s="32" t="s">
        <v>674</v>
      </c>
      <c r="O252" s="31">
        <f>921.3</f>
        <v>921.3</v>
      </c>
      <c r="P252" s="32" t="s">
        <v>875</v>
      </c>
      <c r="Q252" s="31">
        <f>926</f>
        <v>926</v>
      </c>
      <c r="R252" s="32" t="s">
        <v>883</v>
      </c>
      <c r="S252" s="33">
        <f>927.24</f>
        <v>927.24</v>
      </c>
      <c r="T252" s="30">
        <f>3394310</f>
        <v>3394310</v>
      </c>
      <c r="U252" s="30">
        <f>2711900</f>
        <v>2711900</v>
      </c>
      <c r="V252" s="30">
        <f>3144361386</f>
        <v>3144361386</v>
      </c>
      <c r="W252" s="30">
        <f>2511317109</f>
        <v>2511317109</v>
      </c>
      <c r="X252" s="34">
        <f>20</f>
        <v>20</v>
      </c>
    </row>
    <row r="253" spans="1:24">
      <c r="A253" s="25" t="s">
        <v>1128</v>
      </c>
      <c r="B253" s="25" t="s">
        <v>542</v>
      </c>
      <c r="C253" s="25" t="s">
        <v>543</v>
      </c>
      <c r="D253" s="25" t="s">
        <v>544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1083.5</f>
        <v>1083.5</v>
      </c>
      <c r="L253" s="32" t="s">
        <v>1110</v>
      </c>
      <c r="M253" s="31">
        <f>1130</f>
        <v>1130</v>
      </c>
      <c r="N253" s="32" t="s">
        <v>1124</v>
      </c>
      <c r="O253" s="31">
        <f>1058</f>
        <v>1058</v>
      </c>
      <c r="P253" s="32" t="s">
        <v>875</v>
      </c>
      <c r="Q253" s="31">
        <f>1084</f>
        <v>1084</v>
      </c>
      <c r="R253" s="32" t="s">
        <v>883</v>
      </c>
      <c r="S253" s="33">
        <f>1077.38</f>
        <v>1077.3800000000001</v>
      </c>
      <c r="T253" s="30">
        <f>1301900</f>
        <v>1301900</v>
      </c>
      <c r="U253" s="30">
        <f>458200</f>
        <v>458200</v>
      </c>
      <c r="V253" s="30">
        <f>1398597141</f>
        <v>1398597141</v>
      </c>
      <c r="W253" s="30">
        <f>492641516</f>
        <v>492641516</v>
      </c>
      <c r="X253" s="34">
        <f>20</f>
        <v>20</v>
      </c>
    </row>
    <row r="254" spans="1:24">
      <c r="A254" s="25" t="s">
        <v>1128</v>
      </c>
      <c r="B254" s="25" t="s">
        <v>545</v>
      </c>
      <c r="C254" s="25" t="s">
        <v>546</v>
      </c>
      <c r="D254" s="25" t="s">
        <v>547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798.3</f>
        <v>798.3</v>
      </c>
      <c r="L254" s="32" t="s">
        <v>1110</v>
      </c>
      <c r="M254" s="31">
        <f>799.9</f>
        <v>799.9</v>
      </c>
      <c r="N254" s="32" t="s">
        <v>675</v>
      </c>
      <c r="O254" s="31">
        <f>782.1</f>
        <v>782.1</v>
      </c>
      <c r="P254" s="32" t="s">
        <v>680</v>
      </c>
      <c r="Q254" s="31">
        <f>789.8</f>
        <v>789.8</v>
      </c>
      <c r="R254" s="32" t="s">
        <v>883</v>
      </c>
      <c r="S254" s="33">
        <f>791.01</f>
        <v>791.01</v>
      </c>
      <c r="T254" s="30">
        <f>5057100</f>
        <v>5057100</v>
      </c>
      <c r="U254" s="30">
        <f>4778870</f>
        <v>4778870</v>
      </c>
      <c r="V254" s="30">
        <f>3984042033</f>
        <v>3984042033</v>
      </c>
      <c r="W254" s="30">
        <f>3764430308</f>
        <v>3764430308</v>
      </c>
      <c r="X254" s="34">
        <f>20</f>
        <v>20</v>
      </c>
    </row>
    <row r="255" spans="1:24">
      <c r="A255" s="25" t="s">
        <v>1128</v>
      </c>
      <c r="B255" s="25" t="s">
        <v>548</v>
      </c>
      <c r="C255" s="25" t="s">
        <v>549</v>
      </c>
      <c r="D255" s="25" t="s">
        <v>550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2291</f>
        <v>2291</v>
      </c>
      <c r="L255" s="32" t="s">
        <v>1110</v>
      </c>
      <c r="M255" s="31">
        <f>2374.5</f>
        <v>2374.5</v>
      </c>
      <c r="N255" s="32" t="s">
        <v>874</v>
      </c>
      <c r="O255" s="31">
        <f>2246</f>
        <v>2246</v>
      </c>
      <c r="P255" s="32" t="s">
        <v>684</v>
      </c>
      <c r="Q255" s="31">
        <f>2365</f>
        <v>2365</v>
      </c>
      <c r="R255" s="32" t="s">
        <v>883</v>
      </c>
      <c r="S255" s="33">
        <f>2314.2</f>
        <v>2314.1999999999998</v>
      </c>
      <c r="T255" s="30">
        <f>725740</f>
        <v>725740</v>
      </c>
      <c r="U255" s="30">
        <f>379850</f>
        <v>379850</v>
      </c>
      <c r="V255" s="30">
        <f>1696088276</f>
        <v>1696088276</v>
      </c>
      <c r="W255" s="30">
        <f>893048161</f>
        <v>893048161</v>
      </c>
      <c r="X255" s="34">
        <f>20</f>
        <v>20</v>
      </c>
    </row>
    <row r="256" spans="1:24">
      <c r="A256" s="25" t="s">
        <v>1128</v>
      </c>
      <c r="B256" s="25" t="s">
        <v>551</v>
      </c>
      <c r="C256" s="25" t="s">
        <v>552</v>
      </c>
      <c r="D256" s="25" t="s">
        <v>553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1532.5</f>
        <v>1532.5</v>
      </c>
      <c r="L256" s="32" t="s">
        <v>1110</v>
      </c>
      <c r="M256" s="31">
        <f>1567</f>
        <v>1567</v>
      </c>
      <c r="N256" s="32" t="s">
        <v>883</v>
      </c>
      <c r="O256" s="31">
        <f>1514</f>
        <v>1514</v>
      </c>
      <c r="P256" s="32" t="s">
        <v>1124</v>
      </c>
      <c r="Q256" s="31">
        <f>1561.5</f>
        <v>1561.5</v>
      </c>
      <c r="R256" s="32" t="s">
        <v>883</v>
      </c>
      <c r="S256" s="33">
        <f>1545.43</f>
        <v>1545.43</v>
      </c>
      <c r="T256" s="30">
        <f>123030</f>
        <v>123030</v>
      </c>
      <c r="U256" s="30">
        <f>4680</f>
        <v>4680</v>
      </c>
      <c r="V256" s="30">
        <f>190561139</f>
        <v>190561139</v>
      </c>
      <c r="W256" s="30">
        <f>7244034</f>
        <v>7244034</v>
      </c>
      <c r="X256" s="34">
        <f>20</f>
        <v>20</v>
      </c>
    </row>
    <row r="257" spans="1:24">
      <c r="A257" s="25" t="s">
        <v>1128</v>
      </c>
      <c r="B257" s="25" t="s">
        <v>554</v>
      </c>
      <c r="C257" s="25" t="s">
        <v>555</v>
      </c>
      <c r="D257" s="25" t="s">
        <v>556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10</v>
      </c>
      <c r="K257" s="31">
        <f>1321.5</f>
        <v>1321.5</v>
      </c>
      <c r="L257" s="32" t="s">
        <v>1110</v>
      </c>
      <c r="M257" s="31">
        <f>1357</f>
        <v>1357</v>
      </c>
      <c r="N257" s="32" t="s">
        <v>883</v>
      </c>
      <c r="O257" s="31">
        <f>1295.5</f>
        <v>1295.5</v>
      </c>
      <c r="P257" s="32" t="s">
        <v>875</v>
      </c>
      <c r="Q257" s="31">
        <f>1350</f>
        <v>1350</v>
      </c>
      <c r="R257" s="32" t="s">
        <v>883</v>
      </c>
      <c r="S257" s="33">
        <f>1323.03</f>
        <v>1323.03</v>
      </c>
      <c r="T257" s="30">
        <f>444440</f>
        <v>444440</v>
      </c>
      <c r="U257" s="30">
        <f>60760</f>
        <v>60760</v>
      </c>
      <c r="V257" s="30">
        <f>587119355</f>
        <v>587119355</v>
      </c>
      <c r="W257" s="30">
        <f>79652950</f>
        <v>79652950</v>
      </c>
      <c r="X257" s="34">
        <f>20</f>
        <v>20</v>
      </c>
    </row>
    <row r="258" spans="1:24">
      <c r="A258" s="25" t="s">
        <v>1128</v>
      </c>
      <c r="B258" s="25" t="s">
        <v>557</v>
      </c>
      <c r="C258" s="25" t="s">
        <v>1074</v>
      </c>
      <c r="D258" s="25" t="s">
        <v>1075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604.7</f>
        <v>604.70000000000005</v>
      </c>
      <c r="L258" s="32" t="s">
        <v>1110</v>
      </c>
      <c r="M258" s="31">
        <f>611.8</f>
        <v>611.79999999999995</v>
      </c>
      <c r="N258" s="32" t="s">
        <v>1115</v>
      </c>
      <c r="O258" s="31">
        <f>559.1</f>
        <v>559.1</v>
      </c>
      <c r="P258" s="32" t="s">
        <v>875</v>
      </c>
      <c r="Q258" s="31">
        <f>579</f>
        <v>579</v>
      </c>
      <c r="R258" s="32" t="s">
        <v>883</v>
      </c>
      <c r="S258" s="33">
        <f>583.44</f>
        <v>583.44000000000005</v>
      </c>
      <c r="T258" s="30">
        <f>30412050</f>
        <v>30412050</v>
      </c>
      <c r="U258" s="30">
        <f>310040</f>
        <v>310040</v>
      </c>
      <c r="V258" s="30">
        <f>17762909794</f>
        <v>17762909794</v>
      </c>
      <c r="W258" s="30">
        <f>188360680</f>
        <v>188360680</v>
      </c>
      <c r="X258" s="34">
        <f>20</f>
        <v>20</v>
      </c>
    </row>
    <row r="259" spans="1:24">
      <c r="A259" s="25" t="s">
        <v>1128</v>
      </c>
      <c r="B259" s="25" t="s">
        <v>558</v>
      </c>
      <c r="C259" s="25" t="s">
        <v>559</v>
      </c>
      <c r="D259" s="25" t="s">
        <v>560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1028.5</f>
        <v>1028.5</v>
      </c>
      <c r="L259" s="32" t="s">
        <v>1110</v>
      </c>
      <c r="M259" s="31">
        <f>1110</f>
        <v>1110</v>
      </c>
      <c r="N259" s="32" t="s">
        <v>1114</v>
      </c>
      <c r="O259" s="31">
        <f>1000</f>
        <v>1000</v>
      </c>
      <c r="P259" s="32" t="s">
        <v>1123</v>
      </c>
      <c r="Q259" s="31">
        <f>1091</f>
        <v>1091</v>
      </c>
      <c r="R259" s="32" t="s">
        <v>883</v>
      </c>
      <c r="S259" s="33">
        <f>1051.35</f>
        <v>1051.3499999999999</v>
      </c>
      <c r="T259" s="30">
        <f>4476280</f>
        <v>4476280</v>
      </c>
      <c r="U259" s="30">
        <f>4264690</f>
        <v>4264690</v>
      </c>
      <c r="V259" s="30">
        <f>4725294185</f>
        <v>4725294185</v>
      </c>
      <c r="W259" s="30">
        <f>4503064120</f>
        <v>4503064120</v>
      </c>
      <c r="X259" s="34">
        <f>20</f>
        <v>20</v>
      </c>
    </row>
    <row r="260" spans="1:24">
      <c r="A260" s="25" t="s">
        <v>1128</v>
      </c>
      <c r="B260" s="25" t="s">
        <v>561</v>
      </c>
      <c r="C260" s="25" t="s">
        <v>562</v>
      </c>
      <c r="D260" s="25" t="s">
        <v>563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</v>
      </c>
      <c r="K260" s="31">
        <f>1494</f>
        <v>1494</v>
      </c>
      <c r="L260" s="32" t="s">
        <v>1110</v>
      </c>
      <c r="M260" s="31">
        <f>1615</f>
        <v>1615</v>
      </c>
      <c r="N260" s="32" t="s">
        <v>1112</v>
      </c>
      <c r="O260" s="31">
        <f>1469</f>
        <v>1469</v>
      </c>
      <c r="P260" s="32" t="s">
        <v>677</v>
      </c>
      <c r="Q260" s="31">
        <f>1560</f>
        <v>1560</v>
      </c>
      <c r="R260" s="32" t="s">
        <v>883</v>
      </c>
      <c r="S260" s="33">
        <f>1527.15</f>
        <v>1527.15</v>
      </c>
      <c r="T260" s="30">
        <f>47902</f>
        <v>47902</v>
      </c>
      <c r="U260" s="30" t="str">
        <f>"－"</f>
        <v>－</v>
      </c>
      <c r="V260" s="30">
        <f>72089538</f>
        <v>72089538</v>
      </c>
      <c r="W260" s="30" t="str">
        <f>"－"</f>
        <v>－</v>
      </c>
      <c r="X260" s="34">
        <f>20</f>
        <v>20</v>
      </c>
    </row>
    <row r="261" spans="1:24">
      <c r="A261" s="25" t="s">
        <v>1128</v>
      </c>
      <c r="B261" s="25" t="s">
        <v>564</v>
      </c>
      <c r="C261" s="25" t="s">
        <v>565</v>
      </c>
      <c r="D261" s="25" t="s">
        <v>566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10</v>
      </c>
      <c r="K261" s="31">
        <f>1044.5</f>
        <v>1044.5</v>
      </c>
      <c r="L261" s="32" t="s">
        <v>1110</v>
      </c>
      <c r="M261" s="31">
        <f>1054</f>
        <v>1054</v>
      </c>
      <c r="N261" s="32" t="s">
        <v>675</v>
      </c>
      <c r="O261" s="31">
        <f>1007</f>
        <v>1007</v>
      </c>
      <c r="P261" s="32" t="s">
        <v>677</v>
      </c>
      <c r="Q261" s="31">
        <f>1043</f>
        <v>1043</v>
      </c>
      <c r="R261" s="32" t="s">
        <v>883</v>
      </c>
      <c r="S261" s="33">
        <f>1031.18</f>
        <v>1031.18</v>
      </c>
      <c r="T261" s="30">
        <f>114050</f>
        <v>114050</v>
      </c>
      <c r="U261" s="30" t="str">
        <f>"－"</f>
        <v>－</v>
      </c>
      <c r="V261" s="30">
        <f>118053275</f>
        <v>118053275</v>
      </c>
      <c r="W261" s="30" t="str">
        <f>"－"</f>
        <v>－</v>
      </c>
      <c r="X261" s="34">
        <f>20</f>
        <v>20</v>
      </c>
    </row>
    <row r="262" spans="1:24">
      <c r="A262" s="25" t="s">
        <v>1128</v>
      </c>
      <c r="B262" s="25" t="s">
        <v>567</v>
      </c>
      <c r="C262" s="25" t="s">
        <v>568</v>
      </c>
      <c r="D262" s="25" t="s">
        <v>569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1333</f>
        <v>1333</v>
      </c>
      <c r="L262" s="32" t="s">
        <v>1110</v>
      </c>
      <c r="M262" s="31">
        <f>1390</f>
        <v>1390</v>
      </c>
      <c r="N262" s="32" t="s">
        <v>874</v>
      </c>
      <c r="O262" s="31">
        <f>1315</f>
        <v>1315</v>
      </c>
      <c r="P262" s="32" t="s">
        <v>1110</v>
      </c>
      <c r="Q262" s="31">
        <f>1382</f>
        <v>1382</v>
      </c>
      <c r="R262" s="32" t="s">
        <v>883</v>
      </c>
      <c r="S262" s="33">
        <f>1352.53</f>
        <v>1352.53</v>
      </c>
      <c r="T262" s="30">
        <f>83170</f>
        <v>83170</v>
      </c>
      <c r="U262" s="30" t="str">
        <f>"－"</f>
        <v>－</v>
      </c>
      <c r="V262" s="30">
        <f>112601795</f>
        <v>112601795</v>
      </c>
      <c r="W262" s="30" t="str">
        <f>"－"</f>
        <v>－</v>
      </c>
      <c r="X262" s="34">
        <f>20</f>
        <v>20</v>
      </c>
    </row>
    <row r="263" spans="1:24">
      <c r="A263" s="25" t="s">
        <v>1128</v>
      </c>
      <c r="B263" s="25" t="s">
        <v>570</v>
      </c>
      <c r="C263" s="25" t="s">
        <v>571</v>
      </c>
      <c r="D263" s="25" t="s">
        <v>572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1599</f>
        <v>1599</v>
      </c>
      <c r="L263" s="32" t="s">
        <v>1110</v>
      </c>
      <c r="M263" s="31">
        <f>1650</f>
        <v>1650</v>
      </c>
      <c r="N263" s="32" t="s">
        <v>1112</v>
      </c>
      <c r="O263" s="31">
        <f>1595</f>
        <v>1595</v>
      </c>
      <c r="P263" s="32" t="s">
        <v>1124</v>
      </c>
      <c r="Q263" s="31">
        <f>1650</f>
        <v>1650</v>
      </c>
      <c r="R263" s="32" t="s">
        <v>883</v>
      </c>
      <c r="S263" s="33">
        <f>1622.83</f>
        <v>1622.83</v>
      </c>
      <c r="T263" s="30">
        <f>2894150</f>
        <v>2894150</v>
      </c>
      <c r="U263" s="30">
        <f>1456410</f>
        <v>1456410</v>
      </c>
      <c r="V263" s="30">
        <f>4688522705</f>
        <v>4688522705</v>
      </c>
      <c r="W263" s="30">
        <f>2352386935</f>
        <v>2352386935</v>
      </c>
      <c r="X263" s="34">
        <f>20</f>
        <v>20</v>
      </c>
    </row>
    <row r="264" spans="1:24">
      <c r="A264" s="25" t="s">
        <v>1128</v>
      </c>
      <c r="B264" s="25" t="s">
        <v>573</v>
      </c>
      <c r="C264" s="25" t="s">
        <v>574</v>
      </c>
      <c r="D264" s="25" t="s">
        <v>575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5370</f>
        <v>5370</v>
      </c>
      <c r="L264" s="32" t="s">
        <v>1110</v>
      </c>
      <c r="M264" s="31">
        <f>5520</f>
        <v>5520</v>
      </c>
      <c r="N264" s="32" t="s">
        <v>874</v>
      </c>
      <c r="O264" s="31">
        <f>5280</f>
        <v>5280</v>
      </c>
      <c r="P264" s="32" t="s">
        <v>875</v>
      </c>
      <c r="Q264" s="31">
        <f>5500</f>
        <v>5500</v>
      </c>
      <c r="R264" s="32" t="s">
        <v>883</v>
      </c>
      <c r="S264" s="33">
        <f>5419</f>
        <v>5419</v>
      </c>
      <c r="T264" s="30">
        <f>32558</f>
        <v>32558</v>
      </c>
      <c r="U264" s="30" t="str">
        <f>"－"</f>
        <v>－</v>
      </c>
      <c r="V264" s="30">
        <f>175347240</f>
        <v>175347240</v>
      </c>
      <c r="W264" s="30" t="str">
        <f>"－"</f>
        <v>－</v>
      </c>
      <c r="X264" s="34">
        <f>20</f>
        <v>20</v>
      </c>
    </row>
    <row r="265" spans="1:24">
      <c r="A265" s="25" t="s">
        <v>1128</v>
      </c>
      <c r="B265" s="25" t="s">
        <v>576</v>
      </c>
      <c r="C265" s="25" t="s">
        <v>577</v>
      </c>
      <c r="D265" s="25" t="s">
        <v>578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10</v>
      </c>
      <c r="K265" s="31">
        <f>2121.5</f>
        <v>2121.5</v>
      </c>
      <c r="L265" s="32" t="s">
        <v>1110</v>
      </c>
      <c r="M265" s="31">
        <f>2432</f>
        <v>2432</v>
      </c>
      <c r="N265" s="32" t="s">
        <v>676</v>
      </c>
      <c r="O265" s="31">
        <f>2113.5</f>
        <v>2113.5</v>
      </c>
      <c r="P265" s="32" t="s">
        <v>684</v>
      </c>
      <c r="Q265" s="31">
        <f>2325</f>
        <v>2325</v>
      </c>
      <c r="R265" s="32" t="s">
        <v>883</v>
      </c>
      <c r="S265" s="33">
        <f>2251.62</f>
        <v>2251.62</v>
      </c>
      <c r="T265" s="30">
        <f>2760</f>
        <v>2760</v>
      </c>
      <c r="U265" s="30" t="str">
        <f>"－"</f>
        <v>－</v>
      </c>
      <c r="V265" s="30">
        <f>6318985</f>
        <v>6318985</v>
      </c>
      <c r="W265" s="30" t="str">
        <f>"－"</f>
        <v>－</v>
      </c>
      <c r="X265" s="34">
        <f>13</f>
        <v>13</v>
      </c>
    </row>
    <row r="266" spans="1:24">
      <c r="A266" s="25" t="s">
        <v>1128</v>
      </c>
      <c r="B266" s="25" t="s">
        <v>579</v>
      </c>
      <c r="C266" s="25" t="s">
        <v>580</v>
      </c>
      <c r="D266" s="25" t="s">
        <v>581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2733</f>
        <v>2733</v>
      </c>
      <c r="L266" s="32" t="s">
        <v>1110</v>
      </c>
      <c r="M266" s="31">
        <f>2875.5</f>
        <v>2875.5</v>
      </c>
      <c r="N266" s="32" t="s">
        <v>874</v>
      </c>
      <c r="O266" s="31">
        <f>2671</f>
        <v>2671</v>
      </c>
      <c r="P266" s="32" t="s">
        <v>677</v>
      </c>
      <c r="Q266" s="31">
        <f>2846.5</f>
        <v>2846.5</v>
      </c>
      <c r="R266" s="32" t="s">
        <v>883</v>
      </c>
      <c r="S266" s="33">
        <f>2787</f>
        <v>2787</v>
      </c>
      <c r="T266" s="30">
        <f>6810290</f>
        <v>6810290</v>
      </c>
      <c r="U266" s="30">
        <f>5790000</f>
        <v>5790000</v>
      </c>
      <c r="V266" s="30">
        <f>18795508708</f>
        <v>18795508708</v>
      </c>
      <c r="W266" s="30">
        <f>15983030658</f>
        <v>15983030658</v>
      </c>
      <c r="X266" s="34">
        <f>20</f>
        <v>20</v>
      </c>
    </row>
    <row r="267" spans="1:24">
      <c r="A267" s="25" t="s">
        <v>1128</v>
      </c>
      <c r="B267" s="25" t="s">
        <v>582</v>
      </c>
      <c r="C267" s="25" t="s">
        <v>583</v>
      </c>
      <c r="D267" s="25" t="s">
        <v>584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</v>
      </c>
      <c r="K267" s="31">
        <f>39820</f>
        <v>39820</v>
      </c>
      <c r="L267" s="32" t="s">
        <v>1110</v>
      </c>
      <c r="M267" s="31">
        <f>41550</f>
        <v>41550</v>
      </c>
      <c r="N267" s="32" t="s">
        <v>874</v>
      </c>
      <c r="O267" s="31">
        <f>38830</f>
        <v>38830</v>
      </c>
      <c r="P267" s="32" t="s">
        <v>677</v>
      </c>
      <c r="Q267" s="31">
        <f>41070</f>
        <v>41070</v>
      </c>
      <c r="R267" s="32" t="s">
        <v>883</v>
      </c>
      <c r="S267" s="33">
        <f>40354</f>
        <v>40354</v>
      </c>
      <c r="T267" s="30">
        <f>101051</f>
        <v>101051</v>
      </c>
      <c r="U267" s="30">
        <f>38196</f>
        <v>38196</v>
      </c>
      <c r="V267" s="30">
        <f>4002191766</f>
        <v>4002191766</v>
      </c>
      <c r="W267" s="30">
        <f>1499738056</f>
        <v>1499738056</v>
      </c>
      <c r="X267" s="34">
        <f>20</f>
        <v>20</v>
      </c>
    </row>
    <row r="268" spans="1:24">
      <c r="A268" s="25" t="s">
        <v>1128</v>
      </c>
      <c r="B268" s="25" t="s">
        <v>585</v>
      </c>
      <c r="C268" s="25" t="s">
        <v>586</v>
      </c>
      <c r="D268" s="25" t="s">
        <v>587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</v>
      </c>
      <c r="K268" s="31">
        <f>24450</f>
        <v>24450</v>
      </c>
      <c r="L268" s="32" t="s">
        <v>1110</v>
      </c>
      <c r="M268" s="31">
        <f>25980</f>
        <v>25980</v>
      </c>
      <c r="N268" s="32" t="s">
        <v>1111</v>
      </c>
      <c r="O268" s="31">
        <f>24135</f>
        <v>24135</v>
      </c>
      <c r="P268" s="32" t="s">
        <v>677</v>
      </c>
      <c r="Q268" s="31">
        <f>25800</f>
        <v>25800</v>
      </c>
      <c r="R268" s="32" t="s">
        <v>883</v>
      </c>
      <c r="S268" s="33">
        <f>25068.33</f>
        <v>25068.33</v>
      </c>
      <c r="T268" s="30">
        <f>39235</f>
        <v>39235</v>
      </c>
      <c r="U268" s="30">
        <f>17020</f>
        <v>17020</v>
      </c>
      <c r="V268" s="30">
        <f>991614950</f>
        <v>991614950</v>
      </c>
      <c r="W268" s="30">
        <f>433562260</f>
        <v>433562260</v>
      </c>
      <c r="X268" s="34">
        <f>18</f>
        <v>18</v>
      </c>
    </row>
    <row r="269" spans="1:24">
      <c r="A269" s="25" t="s">
        <v>1128</v>
      </c>
      <c r="B269" s="25" t="s">
        <v>588</v>
      </c>
      <c r="C269" s="25" t="s">
        <v>589</v>
      </c>
      <c r="D269" s="25" t="s">
        <v>590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10</v>
      </c>
      <c r="K269" s="31">
        <f>1026</f>
        <v>1026</v>
      </c>
      <c r="L269" s="32" t="s">
        <v>1110</v>
      </c>
      <c r="M269" s="31">
        <f>1110</f>
        <v>1110</v>
      </c>
      <c r="N269" s="32" t="s">
        <v>1111</v>
      </c>
      <c r="O269" s="31">
        <f>1011</f>
        <v>1011</v>
      </c>
      <c r="P269" s="32" t="s">
        <v>1123</v>
      </c>
      <c r="Q269" s="31">
        <f>1098</f>
        <v>1098</v>
      </c>
      <c r="R269" s="32" t="s">
        <v>883</v>
      </c>
      <c r="S269" s="33">
        <f>1053.63</f>
        <v>1053.6300000000001</v>
      </c>
      <c r="T269" s="30">
        <f>1582990</f>
        <v>1582990</v>
      </c>
      <c r="U269" s="30">
        <f>1430000</f>
        <v>1430000</v>
      </c>
      <c r="V269" s="30">
        <f>1623883670</f>
        <v>1623883670</v>
      </c>
      <c r="W269" s="30">
        <f>1465673800</f>
        <v>1465673800</v>
      </c>
      <c r="X269" s="34">
        <f>19</f>
        <v>19</v>
      </c>
    </row>
    <row r="270" spans="1:24">
      <c r="A270" s="25" t="s">
        <v>1128</v>
      </c>
      <c r="B270" s="25" t="s">
        <v>591</v>
      </c>
      <c r="C270" s="25" t="s">
        <v>946</v>
      </c>
      <c r="D270" s="25" t="s">
        <v>947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10</v>
      </c>
      <c r="K270" s="31">
        <f>1041</f>
        <v>1041</v>
      </c>
      <c r="L270" s="32" t="s">
        <v>1110</v>
      </c>
      <c r="M270" s="31">
        <f>1096</f>
        <v>1096</v>
      </c>
      <c r="N270" s="32" t="s">
        <v>679</v>
      </c>
      <c r="O270" s="31">
        <f>993.1</f>
        <v>993.1</v>
      </c>
      <c r="P270" s="32" t="s">
        <v>1123</v>
      </c>
      <c r="Q270" s="31">
        <f>1079</f>
        <v>1079</v>
      </c>
      <c r="R270" s="32" t="s">
        <v>883</v>
      </c>
      <c r="S270" s="33">
        <f>1045.58</f>
        <v>1045.58</v>
      </c>
      <c r="T270" s="30">
        <f>130040</f>
        <v>130040</v>
      </c>
      <c r="U270" s="30" t="str">
        <f>"－"</f>
        <v>－</v>
      </c>
      <c r="V270" s="30">
        <f>134177408</f>
        <v>134177408</v>
      </c>
      <c r="W270" s="30" t="str">
        <f>"－"</f>
        <v>－</v>
      </c>
      <c r="X270" s="34">
        <f>20</f>
        <v>20</v>
      </c>
    </row>
    <row r="271" spans="1:24">
      <c r="A271" s="25" t="s">
        <v>1128</v>
      </c>
      <c r="B271" s="25" t="s">
        <v>592</v>
      </c>
      <c r="C271" s="25" t="s">
        <v>593</v>
      </c>
      <c r="D271" s="25" t="s">
        <v>594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</v>
      </c>
      <c r="K271" s="31">
        <f>1663</f>
        <v>1663</v>
      </c>
      <c r="L271" s="32" t="s">
        <v>1110</v>
      </c>
      <c r="M271" s="31">
        <f>1760</f>
        <v>1760</v>
      </c>
      <c r="N271" s="32" t="s">
        <v>1114</v>
      </c>
      <c r="O271" s="31">
        <f>1619</f>
        <v>1619</v>
      </c>
      <c r="P271" s="32" t="s">
        <v>677</v>
      </c>
      <c r="Q271" s="31">
        <f>1735</f>
        <v>1735</v>
      </c>
      <c r="R271" s="32" t="s">
        <v>883</v>
      </c>
      <c r="S271" s="33">
        <f>1687.7</f>
        <v>1687.7</v>
      </c>
      <c r="T271" s="30">
        <f>481359</f>
        <v>481359</v>
      </c>
      <c r="U271" s="30">
        <f>145303</f>
        <v>145303</v>
      </c>
      <c r="V271" s="30">
        <f>807567813</f>
        <v>807567813</v>
      </c>
      <c r="W271" s="30">
        <f>242288488</f>
        <v>242288488</v>
      </c>
      <c r="X271" s="34">
        <f>20</f>
        <v>20</v>
      </c>
    </row>
    <row r="272" spans="1:24">
      <c r="A272" s="25" t="s">
        <v>1128</v>
      </c>
      <c r="B272" s="25" t="s">
        <v>595</v>
      </c>
      <c r="C272" s="25" t="s">
        <v>596</v>
      </c>
      <c r="D272" s="25" t="s">
        <v>597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</v>
      </c>
      <c r="K272" s="31">
        <f>12630</f>
        <v>12630</v>
      </c>
      <c r="L272" s="32" t="s">
        <v>1110</v>
      </c>
      <c r="M272" s="31">
        <f>13225</f>
        <v>13225</v>
      </c>
      <c r="N272" s="32" t="s">
        <v>676</v>
      </c>
      <c r="O272" s="31">
        <f>12180</f>
        <v>12180</v>
      </c>
      <c r="P272" s="32" t="s">
        <v>1117</v>
      </c>
      <c r="Q272" s="31">
        <f>13000</f>
        <v>13000</v>
      </c>
      <c r="R272" s="32" t="s">
        <v>883</v>
      </c>
      <c r="S272" s="33">
        <f>13007.25</f>
        <v>13007.25</v>
      </c>
      <c r="T272" s="30">
        <f>891</f>
        <v>891</v>
      </c>
      <c r="U272" s="30" t="str">
        <f>"－"</f>
        <v>－</v>
      </c>
      <c r="V272" s="30">
        <f>11513215</f>
        <v>11513215</v>
      </c>
      <c r="W272" s="30" t="str">
        <f>"－"</f>
        <v>－</v>
      </c>
      <c r="X272" s="34">
        <f>20</f>
        <v>20</v>
      </c>
    </row>
    <row r="273" spans="1:24">
      <c r="A273" s="25" t="s">
        <v>1128</v>
      </c>
      <c r="B273" s="25" t="s">
        <v>598</v>
      </c>
      <c r="C273" s="25" t="s">
        <v>599</v>
      </c>
      <c r="D273" s="25" t="s">
        <v>600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</v>
      </c>
      <c r="K273" s="31">
        <f>1859</f>
        <v>1859</v>
      </c>
      <c r="L273" s="32" t="s">
        <v>1110</v>
      </c>
      <c r="M273" s="31">
        <f>1970</f>
        <v>1970</v>
      </c>
      <c r="N273" s="32" t="s">
        <v>679</v>
      </c>
      <c r="O273" s="31">
        <f>1790</f>
        <v>1790</v>
      </c>
      <c r="P273" s="32" t="s">
        <v>1123</v>
      </c>
      <c r="Q273" s="31">
        <f>1941</f>
        <v>1941</v>
      </c>
      <c r="R273" s="32" t="s">
        <v>883</v>
      </c>
      <c r="S273" s="33">
        <f>1875.3</f>
        <v>1875.3</v>
      </c>
      <c r="T273" s="30">
        <f>496828</f>
        <v>496828</v>
      </c>
      <c r="U273" s="30">
        <f>450005</f>
        <v>450005</v>
      </c>
      <c r="V273" s="30">
        <f>965639969</f>
        <v>965639969</v>
      </c>
      <c r="W273" s="30">
        <f>877970793</f>
        <v>877970793</v>
      </c>
      <c r="X273" s="34">
        <f>20</f>
        <v>20</v>
      </c>
    </row>
    <row r="274" spans="1:24">
      <c r="A274" s="25" t="s">
        <v>1128</v>
      </c>
      <c r="B274" s="25" t="s">
        <v>601</v>
      </c>
      <c r="C274" s="25" t="s">
        <v>602</v>
      </c>
      <c r="D274" s="25" t="s">
        <v>603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1512</f>
        <v>1512</v>
      </c>
      <c r="L274" s="32" t="s">
        <v>1110</v>
      </c>
      <c r="M274" s="31">
        <f>1555</f>
        <v>1555</v>
      </c>
      <c r="N274" s="32" t="s">
        <v>679</v>
      </c>
      <c r="O274" s="31">
        <f>1452</f>
        <v>1452</v>
      </c>
      <c r="P274" s="32" t="s">
        <v>1114</v>
      </c>
      <c r="Q274" s="31">
        <f>1470.5</f>
        <v>1470.5</v>
      </c>
      <c r="R274" s="32" t="s">
        <v>883</v>
      </c>
      <c r="S274" s="33">
        <f>1494.5</f>
        <v>1494.5</v>
      </c>
      <c r="T274" s="30">
        <f>3750</f>
        <v>3750</v>
      </c>
      <c r="U274" s="30" t="str">
        <f>"－"</f>
        <v>－</v>
      </c>
      <c r="V274" s="30">
        <f>5620685</f>
        <v>5620685</v>
      </c>
      <c r="W274" s="30" t="str">
        <f>"－"</f>
        <v>－</v>
      </c>
      <c r="X274" s="34">
        <f>14</f>
        <v>14</v>
      </c>
    </row>
    <row r="275" spans="1:24">
      <c r="A275" s="25" t="s">
        <v>1128</v>
      </c>
      <c r="B275" s="25" t="s">
        <v>604</v>
      </c>
      <c r="C275" s="25" t="s">
        <v>685</v>
      </c>
      <c r="D275" s="25" t="s">
        <v>686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812.7</f>
        <v>812.7</v>
      </c>
      <c r="L275" s="32" t="s">
        <v>1110</v>
      </c>
      <c r="M275" s="31">
        <f>822</f>
        <v>822</v>
      </c>
      <c r="N275" s="32" t="s">
        <v>883</v>
      </c>
      <c r="O275" s="31">
        <f>804.1</f>
        <v>804.1</v>
      </c>
      <c r="P275" s="32" t="s">
        <v>678</v>
      </c>
      <c r="Q275" s="31">
        <f>808.8</f>
        <v>808.8</v>
      </c>
      <c r="R275" s="32" t="s">
        <v>883</v>
      </c>
      <c r="S275" s="33">
        <f>808.74</f>
        <v>808.74</v>
      </c>
      <c r="T275" s="30">
        <f>632390</f>
        <v>632390</v>
      </c>
      <c r="U275" s="30">
        <f>297520</f>
        <v>297520</v>
      </c>
      <c r="V275" s="30">
        <f>511439815</f>
        <v>511439815</v>
      </c>
      <c r="W275" s="30">
        <f>240753184</f>
        <v>240753184</v>
      </c>
      <c r="X275" s="34">
        <f>20</f>
        <v>20</v>
      </c>
    </row>
    <row r="276" spans="1:24">
      <c r="A276" s="25" t="s">
        <v>1128</v>
      </c>
      <c r="B276" s="25" t="s">
        <v>605</v>
      </c>
      <c r="C276" s="25" t="s">
        <v>606</v>
      </c>
      <c r="D276" s="25" t="s">
        <v>607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10</v>
      </c>
      <c r="K276" s="31">
        <f>1775</f>
        <v>1775</v>
      </c>
      <c r="L276" s="32" t="s">
        <v>1110</v>
      </c>
      <c r="M276" s="31">
        <f>1887</f>
        <v>1887</v>
      </c>
      <c r="N276" s="32" t="s">
        <v>679</v>
      </c>
      <c r="O276" s="31">
        <f>1713</f>
        <v>1713</v>
      </c>
      <c r="P276" s="32" t="s">
        <v>1123</v>
      </c>
      <c r="Q276" s="31">
        <f>1858</f>
        <v>1858</v>
      </c>
      <c r="R276" s="32" t="s">
        <v>883</v>
      </c>
      <c r="S276" s="33">
        <f>1794.95</f>
        <v>1794.95</v>
      </c>
      <c r="T276" s="30">
        <f>1089590</f>
        <v>1089590</v>
      </c>
      <c r="U276" s="30">
        <f>620060</f>
        <v>620060</v>
      </c>
      <c r="V276" s="30">
        <f>1957713950</f>
        <v>1957713950</v>
      </c>
      <c r="W276" s="30">
        <f>1112661880</f>
        <v>1112661880</v>
      </c>
      <c r="X276" s="34">
        <f>20</f>
        <v>20</v>
      </c>
    </row>
    <row r="277" spans="1:24">
      <c r="A277" s="25" t="s">
        <v>1128</v>
      </c>
      <c r="B277" s="25" t="s">
        <v>608</v>
      </c>
      <c r="C277" s="25" t="s">
        <v>609</v>
      </c>
      <c r="D277" s="25" t="s">
        <v>610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10</v>
      </c>
      <c r="K277" s="31">
        <f>1769</f>
        <v>1769</v>
      </c>
      <c r="L277" s="32" t="s">
        <v>1110</v>
      </c>
      <c r="M277" s="31">
        <f>1884.5</f>
        <v>1884.5</v>
      </c>
      <c r="N277" s="32" t="s">
        <v>679</v>
      </c>
      <c r="O277" s="31">
        <f>1710</f>
        <v>1710</v>
      </c>
      <c r="P277" s="32" t="s">
        <v>1123</v>
      </c>
      <c r="Q277" s="31">
        <f>1859</f>
        <v>1859</v>
      </c>
      <c r="R277" s="32" t="s">
        <v>883</v>
      </c>
      <c r="S277" s="33">
        <f>1795.65</f>
        <v>1795.65</v>
      </c>
      <c r="T277" s="30">
        <f>1646930</f>
        <v>1646930</v>
      </c>
      <c r="U277" s="30">
        <f>867050</f>
        <v>867050</v>
      </c>
      <c r="V277" s="30">
        <f>2910624035</f>
        <v>2910624035</v>
      </c>
      <c r="W277" s="30">
        <f>1522828360</f>
        <v>1522828360</v>
      </c>
      <c r="X277" s="34">
        <f>20</f>
        <v>20</v>
      </c>
    </row>
    <row r="278" spans="1:24">
      <c r="A278" s="25" t="s">
        <v>1128</v>
      </c>
      <c r="B278" s="25" t="s">
        <v>611</v>
      </c>
      <c r="C278" s="25" t="s">
        <v>612</v>
      </c>
      <c r="D278" s="25" t="s">
        <v>613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10</v>
      </c>
      <c r="K278" s="31">
        <f>2704.5</f>
        <v>2704.5</v>
      </c>
      <c r="L278" s="32" t="s">
        <v>1110</v>
      </c>
      <c r="M278" s="31">
        <f>2843.5</f>
        <v>2843.5</v>
      </c>
      <c r="N278" s="32" t="s">
        <v>874</v>
      </c>
      <c r="O278" s="31">
        <f>2644.5</f>
        <v>2644.5</v>
      </c>
      <c r="P278" s="32" t="s">
        <v>677</v>
      </c>
      <c r="Q278" s="31">
        <f>2826</f>
        <v>2826</v>
      </c>
      <c r="R278" s="32" t="s">
        <v>883</v>
      </c>
      <c r="S278" s="33">
        <f>2759.2</f>
        <v>2759.2</v>
      </c>
      <c r="T278" s="30">
        <f>1809470</f>
        <v>1809470</v>
      </c>
      <c r="U278" s="30">
        <f>473000</f>
        <v>473000</v>
      </c>
      <c r="V278" s="30">
        <f>4995412085</f>
        <v>4995412085</v>
      </c>
      <c r="W278" s="30">
        <f>1299947300</f>
        <v>1299947300</v>
      </c>
      <c r="X278" s="34">
        <f>20</f>
        <v>20</v>
      </c>
    </row>
    <row r="279" spans="1:24">
      <c r="A279" s="25" t="s">
        <v>1128</v>
      </c>
      <c r="B279" s="25" t="s">
        <v>614</v>
      </c>
      <c r="C279" s="25" t="s">
        <v>615</v>
      </c>
      <c r="D279" s="25" t="s">
        <v>616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21960</f>
        <v>21960</v>
      </c>
      <c r="L279" s="32" t="s">
        <v>1110</v>
      </c>
      <c r="M279" s="31">
        <f>22925</f>
        <v>22925</v>
      </c>
      <c r="N279" s="32" t="s">
        <v>874</v>
      </c>
      <c r="O279" s="31">
        <f>21595</f>
        <v>21595</v>
      </c>
      <c r="P279" s="32" t="s">
        <v>684</v>
      </c>
      <c r="Q279" s="31">
        <f>22895</f>
        <v>22895</v>
      </c>
      <c r="R279" s="32" t="s">
        <v>883</v>
      </c>
      <c r="S279" s="33">
        <f>22277</f>
        <v>22277</v>
      </c>
      <c r="T279" s="30">
        <f>695728</f>
        <v>695728</v>
      </c>
      <c r="U279" s="30">
        <f>37492</f>
        <v>37492</v>
      </c>
      <c r="V279" s="30">
        <f>15471403880</f>
        <v>15471403880</v>
      </c>
      <c r="W279" s="30">
        <f>845180845</f>
        <v>845180845</v>
      </c>
      <c r="X279" s="34">
        <f>20</f>
        <v>20</v>
      </c>
    </row>
    <row r="280" spans="1:24">
      <c r="A280" s="25" t="s">
        <v>1128</v>
      </c>
      <c r="B280" s="25" t="s">
        <v>617</v>
      </c>
      <c r="C280" s="25" t="s">
        <v>618</v>
      </c>
      <c r="D280" s="25" t="s">
        <v>619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</v>
      </c>
      <c r="K280" s="31">
        <f>18740</f>
        <v>18740</v>
      </c>
      <c r="L280" s="32" t="s">
        <v>1110</v>
      </c>
      <c r="M280" s="31">
        <f>19575</f>
        <v>19575</v>
      </c>
      <c r="N280" s="32" t="s">
        <v>874</v>
      </c>
      <c r="O280" s="31">
        <f>18525</f>
        <v>18525</v>
      </c>
      <c r="P280" s="32" t="s">
        <v>677</v>
      </c>
      <c r="Q280" s="31">
        <f>19565</f>
        <v>19565</v>
      </c>
      <c r="R280" s="32" t="s">
        <v>883</v>
      </c>
      <c r="S280" s="33">
        <f>19074</f>
        <v>19074</v>
      </c>
      <c r="T280" s="30">
        <f>389157</f>
        <v>389157</v>
      </c>
      <c r="U280" s="30">
        <f>1315</f>
        <v>1315</v>
      </c>
      <c r="V280" s="30">
        <f>7409574801</f>
        <v>7409574801</v>
      </c>
      <c r="W280" s="30">
        <f>24981911</f>
        <v>24981911</v>
      </c>
      <c r="X280" s="34">
        <f>20</f>
        <v>20</v>
      </c>
    </row>
    <row r="281" spans="1:24">
      <c r="A281" s="25" t="s">
        <v>1128</v>
      </c>
      <c r="B281" s="25" t="s">
        <v>620</v>
      </c>
      <c r="C281" s="25" t="s">
        <v>621</v>
      </c>
      <c r="D281" s="25" t="s">
        <v>622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</v>
      </c>
      <c r="K281" s="31">
        <f>35910</f>
        <v>35910</v>
      </c>
      <c r="L281" s="32" t="s">
        <v>1110</v>
      </c>
      <c r="M281" s="31">
        <f>43000</f>
        <v>43000</v>
      </c>
      <c r="N281" s="32" t="s">
        <v>1112</v>
      </c>
      <c r="O281" s="31">
        <f>35260</f>
        <v>35260</v>
      </c>
      <c r="P281" s="32" t="s">
        <v>1123</v>
      </c>
      <c r="Q281" s="31">
        <f>37350</f>
        <v>37350</v>
      </c>
      <c r="R281" s="32" t="s">
        <v>1111</v>
      </c>
      <c r="S281" s="33">
        <f>36406.43</f>
        <v>36406.43</v>
      </c>
      <c r="T281" s="30">
        <f>154</f>
        <v>154</v>
      </c>
      <c r="U281" s="30" t="str">
        <f>"－"</f>
        <v>－</v>
      </c>
      <c r="V281" s="30">
        <f>5763220</f>
        <v>5763220</v>
      </c>
      <c r="W281" s="30" t="str">
        <f>"－"</f>
        <v>－</v>
      </c>
      <c r="X281" s="34">
        <f>14</f>
        <v>14</v>
      </c>
    </row>
    <row r="282" spans="1:24">
      <c r="A282" s="25" t="s">
        <v>1128</v>
      </c>
      <c r="B282" s="25" t="s">
        <v>623</v>
      </c>
      <c r="C282" s="25" t="s">
        <v>624</v>
      </c>
      <c r="D282" s="25" t="s">
        <v>625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2449</f>
        <v>2449</v>
      </c>
      <c r="L282" s="32" t="s">
        <v>1110</v>
      </c>
      <c r="M282" s="31">
        <f>2459</f>
        <v>2459</v>
      </c>
      <c r="N282" s="32" t="s">
        <v>675</v>
      </c>
      <c r="O282" s="31">
        <f>2420</f>
        <v>2420</v>
      </c>
      <c r="P282" s="32" t="s">
        <v>875</v>
      </c>
      <c r="Q282" s="31">
        <f>2446</f>
        <v>2446</v>
      </c>
      <c r="R282" s="32" t="s">
        <v>883</v>
      </c>
      <c r="S282" s="33">
        <f>2439.75</f>
        <v>2439.75</v>
      </c>
      <c r="T282" s="30">
        <f>169776</f>
        <v>169776</v>
      </c>
      <c r="U282" s="30">
        <f>42315</f>
        <v>42315</v>
      </c>
      <c r="V282" s="30">
        <f>413691401</f>
        <v>413691401</v>
      </c>
      <c r="W282" s="30">
        <f>103090570</f>
        <v>103090570</v>
      </c>
      <c r="X282" s="34">
        <f>20</f>
        <v>20</v>
      </c>
    </row>
    <row r="283" spans="1:24">
      <c r="A283" s="25" t="s">
        <v>1128</v>
      </c>
      <c r="B283" s="25" t="s">
        <v>626</v>
      </c>
      <c r="C283" s="25" t="s">
        <v>627</v>
      </c>
      <c r="D283" s="25" t="s">
        <v>628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10</v>
      </c>
      <c r="K283" s="31">
        <f>3044</f>
        <v>3044</v>
      </c>
      <c r="L283" s="32" t="s">
        <v>1110</v>
      </c>
      <c r="M283" s="31">
        <f>3106</f>
        <v>3106</v>
      </c>
      <c r="N283" s="32" t="s">
        <v>883</v>
      </c>
      <c r="O283" s="31">
        <f>3009</f>
        <v>3009</v>
      </c>
      <c r="P283" s="32" t="s">
        <v>1124</v>
      </c>
      <c r="Q283" s="31">
        <f>3106</f>
        <v>3106</v>
      </c>
      <c r="R283" s="32" t="s">
        <v>883</v>
      </c>
      <c r="S283" s="33">
        <f>3053.4</f>
        <v>3053.4</v>
      </c>
      <c r="T283" s="30">
        <f>2257640</f>
        <v>2257640</v>
      </c>
      <c r="U283" s="30">
        <f>1683400</f>
        <v>1683400</v>
      </c>
      <c r="V283" s="30">
        <f>6866001940</f>
        <v>6866001940</v>
      </c>
      <c r="W283" s="30">
        <f>5097960680</f>
        <v>5097960680</v>
      </c>
      <c r="X283" s="34">
        <f>20</f>
        <v>20</v>
      </c>
    </row>
    <row r="284" spans="1:24">
      <c r="A284" s="25" t="s">
        <v>1128</v>
      </c>
      <c r="B284" s="25" t="s">
        <v>629</v>
      </c>
      <c r="C284" s="25" t="s">
        <v>630</v>
      </c>
      <c r="D284" s="25" t="s">
        <v>631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299.1</f>
        <v>299.10000000000002</v>
      </c>
      <c r="L284" s="32" t="s">
        <v>1110</v>
      </c>
      <c r="M284" s="31">
        <f>308.3</f>
        <v>308.3</v>
      </c>
      <c r="N284" s="32" t="s">
        <v>883</v>
      </c>
      <c r="O284" s="31">
        <f>298.2</f>
        <v>298.2</v>
      </c>
      <c r="P284" s="32" t="s">
        <v>1124</v>
      </c>
      <c r="Q284" s="31">
        <f>307.5</f>
        <v>307.5</v>
      </c>
      <c r="R284" s="32" t="s">
        <v>883</v>
      </c>
      <c r="S284" s="33">
        <f>303.38</f>
        <v>303.38</v>
      </c>
      <c r="T284" s="30">
        <f>24596940</f>
        <v>24596940</v>
      </c>
      <c r="U284" s="30">
        <f>3638620</f>
        <v>3638620</v>
      </c>
      <c r="V284" s="30">
        <f>7476485241</f>
        <v>7476485241</v>
      </c>
      <c r="W284" s="30">
        <f>1115926590</f>
        <v>1115926590</v>
      </c>
      <c r="X284" s="34">
        <f>20</f>
        <v>20</v>
      </c>
    </row>
    <row r="285" spans="1:24">
      <c r="A285" s="25" t="s">
        <v>1128</v>
      </c>
      <c r="B285" s="25" t="s">
        <v>632</v>
      </c>
      <c r="C285" s="25" t="s">
        <v>633</v>
      </c>
      <c r="D285" s="25" t="s">
        <v>634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</v>
      </c>
      <c r="K285" s="31">
        <f>2825</f>
        <v>2825</v>
      </c>
      <c r="L285" s="32" t="s">
        <v>1110</v>
      </c>
      <c r="M285" s="31">
        <f>2927</f>
        <v>2927</v>
      </c>
      <c r="N285" s="32" t="s">
        <v>1114</v>
      </c>
      <c r="O285" s="31">
        <f>2717</f>
        <v>2717</v>
      </c>
      <c r="P285" s="32" t="s">
        <v>1123</v>
      </c>
      <c r="Q285" s="31">
        <f>2873</f>
        <v>2873</v>
      </c>
      <c r="R285" s="32" t="s">
        <v>883</v>
      </c>
      <c r="S285" s="33">
        <f>2821.6</f>
        <v>2821.6</v>
      </c>
      <c r="T285" s="30">
        <f>906749</f>
        <v>906749</v>
      </c>
      <c r="U285" s="30">
        <f>127466</f>
        <v>127466</v>
      </c>
      <c r="V285" s="30">
        <f>2544071486</f>
        <v>2544071486</v>
      </c>
      <c r="W285" s="30">
        <f>353850643</f>
        <v>353850643</v>
      </c>
      <c r="X285" s="34">
        <f>20</f>
        <v>20</v>
      </c>
    </row>
    <row r="286" spans="1:24">
      <c r="A286" s="25" t="s">
        <v>1128</v>
      </c>
      <c r="B286" s="25" t="s">
        <v>635</v>
      </c>
      <c r="C286" s="25" t="s">
        <v>636</v>
      </c>
      <c r="D286" s="25" t="s">
        <v>637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</v>
      </c>
      <c r="K286" s="31">
        <f>862</f>
        <v>862</v>
      </c>
      <c r="L286" s="32" t="s">
        <v>1110</v>
      </c>
      <c r="M286" s="31">
        <f>933</f>
        <v>933</v>
      </c>
      <c r="N286" s="32" t="s">
        <v>679</v>
      </c>
      <c r="O286" s="31">
        <f>836</f>
        <v>836</v>
      </c>
      <c r="P286" s="32" t="s">
        <v>1123</v>
      </c>
      <c r="Q286" s="31">
        <f>911</f>
        <v>911</v>
      </c>
      <c r="R286" s="32" t="s">
        <v>883</v>
      </c>
      <c r="S286" s="33">
        <f>881.55</f>
        <v>881.55</v>
      </c>
      <c r="T286" s="30">
        <f>2175843</f>
        <v>2175843</v>
      </c>
      <c r="U286" s="30">
        <f>1466820</f>
        <v>1466820</v>
      </c>
      <c r="V286" s="30">
        <f>1899402705</f>
        <v>1899402705</v>
      </c>
      <c r="W286" s="30">
        <f>1270117249</f>
        <v>1270117249</v>
      </c>
      <c r="X286" s="34">
        <f>20</f>
        <v>20</v>
      </c>
    </row>
    <row r="287" spans="1:24">
      <c r="A287" s="25" t="s">
        <v>1128</v>
      </c>
      <c r="B287" s="25" t="s">
        <v>638</v>
      </c>
      <c r="C287" s="25" t="s">
        <v>639</v>
      </c>
      <c r="D287" s="25" t="s">
        <v>640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975</f>
        <v>975</v>
      </c>
      <c r="L287" s="32" t="s">
        <v>1110</v>
      </c>
      <c r="M287" s="31">
        <f>1041.5</f>
        <v>1041.5</v>
      </c>
      <c r="N287" s="32" t="s">
        <v>676</v>
      </c>
      <c r="O287" s="31">
        <f>939.7</f>
        <v>939.7</v>
      </c>
      <c r="P287" s="32" t="s">
        <v>1123</v>
      </c>
      <c r="Q287" s="31">
        <f>1020</f>
        <v>1020</v>
      </c>
      <c r="R287" s="32" t="s">
        <v>883</v>
      </c>
      <c r="S287" s="33">
        <f>984.93</f>
        <v>984.93</v>
      </c>
      <c r="T287" s="30">
        <f>138450</f>
        <v>138450</v>
      </c>
      <c r="U287" s="30">
        <f>20020</f>
        <v>20020</v>
      </c>
      <c r="V287" s="30">
        <f>135134084</f>
        <v>135134084</v>
      </c>
      <c r="W287" s="30">
        <f>18916056</f>
        <v>18916056</v>
      </c>
      <c r="X287" s="34">
        <f>20</f>
        <v>20</v>
      </c>
    </row>
    <row r="288" spans="1:24">
      <c r="A288" s="25" t="s">
        <v>1128</v>
      </c>
      <c r="B288" s="25" t="s">
        <v>641</v>
      </c>
      <c r="C288" s="25" t="s">
        <v>642</v>
      </c>
      <c r="D288" s="25" t="s">
        <v>643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10</v>
      </c>
      <c r="K288" s="31">
        <f>350</f>
        <v>350</v>
      </c>
      <c r="L288" s="32" t="s">
        <v>1110</v>
      </c>
      <c r="M288" s="31">
        <f>376</f>
        <v>376</v>
      </c>
      <c r="N288" s="32" t="s">
        <v>1115</v>
      </c>
      <c r="O288" s="31">
        <f>348</f>
        <v>348</v>
      </c>
      <c r="P288" s="32" t="s">
        <v>677</v>
      </c>
      <c r="Q288" s="31">
        <f>368</f>
        <v>368</v>
      </c>
      <c r="R288" s="32" t="s">
        <v>883</v>
      </c>
      <c r="S288" s="33">
        <f>362.06</f>
        <v>362.06</v>
      </c>
      <c r="T288" s="30">
        <f>15410</f>
        <v>15410</v>
      </c>
      <c r="U288" s="30" t="str">
        <f>"－"</f>
        <v>－</v>
      </c>
      <c r="V288" s="30">
        <f>5574171</f>
        <v>5574171</v>
      </c>
      <c r="W288" s="30" t="str">
        <f>"－"</f>
        <v>－</v>
      </c>
      <c r="X288" s="34">
        <f>19</f>
        <v>19</v>
      </c>
    </row>
    <row r="289" spans="1:24">
      <c r="A289" s="25" t="s">
        <v>1128</v>
      </c>
      <c r="B289" s="25" t="s">
        <v>644</v>
      </c>
      <c r="C289" s="25" t="s">
        <v>645</v>
      </c>
      <c r="D289" s="25" t="s">
        <v>646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10</v>
      </c>
      <c r="K289" s="31">
        <f>4649</f>
        <v>4649</v>
      </c>
      <c r="L289" s="32" t="s">
        <v>1110</v>
      </c>
      <c r="M289" s="31">
        <f>4788</f>
        <v>4788</v>
      </c>
      <c r="N289" s="32" t="s">
        <v>874</v>
      </c>
      <c r="O289" s="31">
        <f>4535</f>
        <v>4535</v>
      </c>
      <c r="P289" s="32" t="s">
        <v>684</v>
      </c>
      <c r="Q289" s="31">
        <f>4754</f>
        <v>4754</v>
      </c>
      <c r="R289" s="32" t="s">
        <v>883</v>
      </c>
      <c r="S289" s="33">
        <f>4683.15</f>
        <v>4683.1499999999996</v>
      </c>
      <c r="T289" s="30">
        <f>1455520</f>
        <v>1455520</v>
      </c>
      <c r="U289" s="30">
        <f>3010</f>
        <v>3010</v>
      </c>
      <c r="V289" s="30">
        <f>6781945540</f>
        <v>6781945540</v>
      </c>
      <c r="W289" s="30">
        <f>13697950</f>
        <v>13697950</v>
      </c>
      <c r="X289" s="34">
        <f>20</f>
        <v>20</v>
      </c>
    </row>
    <row r="290" spans="1:24">
      <c r="A290" s="25" t="s">
        <v>1128</v>
      </c>
      <c r="B290" s="25" t="s">
        <v>647</v>
      </c>
      <c r="C290" s="25" t="s">
        <v>648</v>
      </c>
      <c r="D290" s="25" t="s">
        <v>649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10</v>
      </c>
      <c r="K290" s="31">
        <f>2912</f>
        <v>2912</v>
      </c>
      <c r="L290" s="32" t="s">
        <v>1110</v>
      </c>
      <c r="M290" s="31">
        <f>2963.5</f>
        <v>2963.5</v>
      </c>
      <c r="N290" s="32" t="s">
        <v>1112</v>
      </c>
      <c r="O290" s="31">
        <f>2875</f>
        <v>2875</v>
      </c>
      <c r="P290" s="32" t="s">
        <v>678</v>
      </c>
      <c r="Q290" s="31">
        <f>2946.5</f>
        <v>2946.5</v>
      </c>
      <c r="R290" s="32" t="s">
        <v>883</v>
      </c>
      <c r="S290" s="33">
        <f>2933.43</f>
        <v>2933.43</v>
      </c>
      <c r="T290" s="30">
        <f>2068140</f>
        <v>2068140</v>
      </c>
      <c r="U290" s="30">
        <f>827510</f>
        <v>827510</v>
      </c>
      <c r="V290" s="30">
        <f>6041500421</f>
        <v>6041500421</v>
      </c>
      <c r="W290" s="30">
        <f>2414028641</f>
        <v>2414028641</v>
      </c>
      <c r="X290" s="34">
        <f>20</f>
        <v>20</v>
      </c>
    </row>
    <row r="291" spans="1:24">
      <c r="A291" s="25" t="s">
        <v>1128</v>
      </c>
      <c r="B291" s="25" t="s">
        <v>650</v>
      </c>
      <c r="C291" s="25" t="s">
        <v>651</v>
      </c>
      <c r="D291" s="25" t="s">
        <v>652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10</v>
      </c>
      <c r="K291" s="31">
        <f>337.7</f>
        <v>337.7</v>
      </c>
      <c r="L291" s="32" t="s">
        <v>1110</v>
      </c>
      <c r="M291" s="31">
        <f>343.3</f>
        <v>343.3</v>
      </c>
      <c r="N291" s="32" t="s">
        <v>883</v>
      </c>
      <c r="O291" s="31">
        <f>330.7</f>
        <v>330.7</v>
      </c>
      <c r="P291" s="32" t="s">
        <v>684</v>
      </c>
      <c r="Q291" s="31">
        <f>342.2</f>
        <v>342.2</v>
      </c>
      <c r="R291" s="32" t="s">
        <v>883</v>
      </c>
      <c r="S291" s="33">
        <f>337.89</f>
        <v>337.89</v>
      </c>
      <c r="T291" s="30">
        <f>21281010</f>
        <v>21281010</v>
      </c>
      <c r="U291" s="30">
        <f>16634400</f>
        <v>16634400</v>
      </c>
      <c r="V291" s="30">
        <f>7186690653</f>
        <v>7186690653</v>
      </c>
      <c r="W291" s="30">
        <f>5619184072</f>
        <v>5619184072</v>
      </c>
      <c r="X291" s="34">
        <f>20</f>
        <v>20</v>
      </c>
    </row>
    <row r="292" spans="1:24">
      <c r="A292" s="25" t="s">
        <v>1128</v>
      </c>
      <c r="B292" s="25" t="s">
        <v>653</v>
      </c>
      <c r="C292" s="25" t="s">
        <v>654</v>
      </c>
      <c r="D292" s="25" t="s">
        <v>655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1270</f>
        <v>1270</v>
      </c>
      <c r="L292" s="32" t="s">
        <v>1110</v>
      </c>
      <c r="M292" s="31">
        <f>1303</f>
        <v>1303</v>
      </c>
      <c r="N292" s="32" t="s">
        <v>1113</v>
      </c>
      <c r="O292" s="31">
        <f>1253</f>
        <v>1253</v>
      </c>
      <c r="P292" s="32" t="s">
        <v>1112</v>
      </c>
      <c r="Q292" s="31">
        <f>1277</f>
        <v>1277</v>
      </c>
      <c r="R292" s="32" t="s">
        <v>883</v>
      </c>
      <c r="S292" s="33">
        <f>1277.5</f>
        <v>1277.5</v>
      </c>
      <c r="T292" s="30">
        <f>26234193</f>
        <v>26234193</v>
      </c>
      <c r="U292" s="30">
        <f>47726</f>
        <v>47726</v>
      </c>
      <c r="V292" s="30">
        <f>33435602256</f>
        <v>33435602256</v>
      </c>
      <c r="W292" s="30">
        <f>61585034</f>
        <v>61585034</v>
      </c>
      <c r="X292" s="34">
        <f>20</f>
        <v>20</v>
      </c>
    </row>
    <row r="293" spans="1:24">
      <c r="A293" s="25" t="s">
        <v>1128</v>
      </c>
      <c r="B293" s="25" t="s">
        <v>656</v>
      </c>
      <c r="C293" s="25" t="s">
        <v>657</v>
      </c>
      <c r="D293" s="25" t="s">
        <v>658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1767</f>
        <v>1767</v>
      </c>
      <c r="L293" s="32" t="s">
        <v>1110</v>
      </c>
      <c r="M293" s="31">
        <f>1811</f>
        <v>1811</v>
      </c>
      <c r="N293" s="32" t="s">
        <v>875</v>
      </c>
      <c r="O293" s="31">
        <f>1767</f>
        <v>1767</v>
      </c>
      <c r="P293" s="32" t="s">
        <v>1110</v>
      </c>
      <c r="Q293" s="31">
        <f>1804</f>
        <v>1804</v>
      </c>
      <c r="R293" s="32" t="s">
        <v>883</v>
      </c>
      <c r="S293" s="33">
        <f>1791.95</f>
        <v>1791.95</v>
      </c>
      <c r="T293" s="30">
        <f>74641</f>
        <v>74641</v>
      </c>
      <c r="U293" s="30">
        <f>2</f>
        <v>2</v>
      </c>
      <c r="V293" s="30">
        <f>133795073</f>
        <v>133795073</v>
      </c>
      <c r="W293" s="30">
        <f>3606</f>
        <v>3606</v>
      </c>
      <c r="X293" s="34">
        <f>20</f>
        <v>20</v>
      </c>
    </row>
    <row r="294" spans="1:24">
      <c r="A294" s="25" t="s">
        <v>1128</v>
      </c>
      <c r="B294" s="25" t="s">
        <v>659</v>
      </c>
      <c r="C294" s="25" t="s">
        <v>660</v>
      </c>
      <c r="D294" s="25" t="s">
        <v>661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</v>
      </c>
      <c r="K294" s="31">
        <f>2104</f>
        <v>2104</v>
      </c>
      <c r="L294" s="32" t="s">
        <v>1110</v>
      </c>
      <c r="M294" s="31">
        <f>2130</f>
        <v>2130</v>
      </c>
      <c r="N294" s="32" t="s">
        <v>677</v>
      </c>
      <c r="O294" s="31">
        <f>2101</f>
        <v>2101</v>
      </c>
      <c r="P294" s="32" t="s">
        <v>875</v>
      </c>
      <c r="Q294" s="31">
        <f>2127</f>
        <v>2127</v>
      </c>
      <c r="R294" s="32" t="s">
        <v>883</v>
      </c>
      <c r="S294" s="33">
        <f>2117.29</f>
        <v>2117.29</v>
      </c>
      <c r="T294" s="30">
        <f>543229</f>
        <v>543229</v>
      </c>
      <c r="U294" s="30">
        <f>520000</f>
        <v>520000</v>
      </c>
      <c r="V294" s="30">
        <f>1146528492</f>
        <v>1146528492</v>
      </c>
      <c r="W294" s="30">
        <f>1097620000</f>
        <v>1097620000</v>
      </c>
      <c r="X294" s="34">
        <f>17</f>
        <v>17</v>
      </c>
    </row>
    <row r="295" spans="1:24">
      <c r="A295" s="25" t="s">
        <v>1128</v>
      </c>
      <c r="B295" s="25" t="s">
        <v>662</v>
      </c>
      <c r="C295" s="25" t="s">
        <v>663</v>
      </c>
      <c r="D295" s="25" t="s">
        <v>948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</v>
      </c>
      <c r="K295" s="31">
        <f>3945</f>
        <v>3945</v>
      </c>
      <c r="L295" s="32" t="s">
        <v>1110</v>
      </c>
      <c r="M295" s="31">
        <f>4125</f>
        <v>4125</v>
      </c>
      <c r="N295" s="32" t="s">
        <v>874</v>
      </c>
      <c r="O295" s="31">
        <f>3845</f>
        <v>3845</v>
      </c>
      <c r="P295" s="32" t="s">
        <v>677</v>
      </c>
      <c r="Q295" s="31">
        <f>4090</f>
        <v>4090</v>
      </c>
      <c r="R295" s="32" t="s">
        <v>883</v>
      </c>
      <c r="S295" s="33">
        <f>4004.25</f>
        <v>4004.25</v>
      </c>
      <c r="T295" s="30">
        <f>671774</f>
        <v>671774</v>
      </c>
      <c r="U295" s="30">
        <f>233357</f>
        <v>233357</v>
      </c>
      <c r="V295" s="30">
        <f>2688753420</f>
        <v>2688753420</v>
      </c>
      <c r="W295" s="30">
        <f>946559370</f>
        <v>946559370</v>
      </c>
      <c r="X295" s="34">
        <f>20</f>
        <v>20</v>
      </c>
    </row>
    <row r="296" spans="1:24">
      <c r="A296" s="25" t="s">
        <v>1128</v>
      </c>
      <c r="B296" s="25" t="s">
        <v>664</v>
      </c>
      <c r="C296" s="25" t="s">
        <v>665</v>
      </c>
      <c r="D296" s="25" t="s">
        <v>949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</v>
      </c>
      <c r="K296" s="31">
        <f>2681</f>
        <v>2681</v>
      </c>
      <c r="L296" s="32" t="s">
        <v>1110</v>
      </c>
      <c r="M296" s="31">
        <f>2825</f>
        <v>2825</v>
      </c>
      <c r="N296" s="32" t="s">
        <v>874</v>
      </c>
      <c r="O296" s="31">
        <f>2622</f>
        <v>2622</v>
      </c>
      <c r="P296" s="32" t="s">
        <v>677</v>
      </c>
      <c r="Q296" s="31">
        <f>2808</f>
        <v>2808</v>
      </c>
      <c r="R296" s="32" t="s">
        <v>883</v>
      </c>
      <c r="S296" s="33">
        <f>2737.8</f>
        <v>2737.8</v>
      </c>
      <c r="T296" s="30">
        <f>856197</f>
        <v>856197</v>
      </c>
      <c r="U296" s="30">
        <f>60000</f>
        <v>60000</v>
      </c>
      <c r="V296" s="30">
        <f>2347916982</f>
        <v>2347916982</v>
      </c>
      <c r="W296" s="30">
        <f>162864000</f>
        <v>162864000</v>
      </c>
      <c r="X296" s="34">
        <f>20</f>
        <v>20</v>
      </c>
    </row>
    <row r="297" spans="1:24">
      <c r="A297" s="25" t="s">
        <v>1128</v>
      </c>
      <c r="B297" s="25" t="s">
        <v>666</v>
      </c>
      <c r="C297" s="25" t="s">
        <v>667</v>
      </c>
      <c r="D297" s="25" t="s">
        <v>668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2222</f>
        <v>2222</v>
      </c>
      <c r="L297" s="32" t="s">
        <v>1110</v>
      </c>
      <c r="M297" s="31">
        <f>2323</f>
        <v>2323</v>
      </c>
      <c r="N297" s="32" t="s">
        <v>1112</v>
      </c>
      <c r="O297" s="31">
        <f>2143</f>
        <v>2143</v>
      </c>
      <c r="P297" s="32" t="s">
        <v>678</v>
      </c>
      <c r="Q297" s="31">
        <f>2232</f>
        <v>2232</v>
      </c>
      <c r="R297" s="32" t="s">
        <v>883</v>
      </c>
      <c r="S297" s="33">
        <f>2226.25</f>
        <v>2226.25</v>
      </c>
      <c r="T297" s="30">
        <f>65587</f>
        <v>65587</v>
      </c>
      <c r="U297" s="30" t="str">
        <f>"－"</f>
        <v>－</v>
      </c>
      <c r="V297" s="30">
        <f>145784218</f>
        <v>145784218</v>
      </c>
      <c r="W297" s="30" t="str">
        <f>"－"</f>
        <v>－</v>
      </c>
      <c r="X297" s="34">
        <f>20</f>
        <v>20</v>
      </c>
    </row>
    <row r="298" spans="1:24">
      <c r="A298" s="25" t="s">
        <v>1128</v>
      </c>
      <c r="B298" s="25" t="s">
        <v>669</v>
      </c>
      <c r="C298" s="25" t="s">
        <v>670</v>
      </c>
      <c r="D298" s="25" t="s">
        <v>671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1295</f>
        <v>1295</v>
      </c>
      <c r="L298" s="32" t="s">
        <v>1110</v>
      </c>
      <c r="M298" s="31">
        <f>1378</f>
        <v>1378</v>
      </c>
      <c r="N298" s="32" t="s">
        <v>1112</v>
      </c>
      <c r="O298" s="31">
        <f>1263</f>
        <v>1263</v>
      </c>
      <c r="P298" s="32" t="s">
        <v>1124</v>
      </c>
      <c r="Q298" s="31">
        <f>1357</f>
        <v>1357</v>
      </c>
      <c r="R298" s="32" t="s">
        <v>883</v>
      </c>
      <c r="S298" s="33">
        <f>1321.5</f>
        <v>1321.5</v>
      </c>
      <c r="T298" s="30">
        <f>53019</f>
        <v>53019</v>
      </c>
      <c r="U298" s="30" t="str">
        <f>"－"</f>
        <v>－</v>
      </c>
      <c r="V298" s="30">
        <f>70164863</f>
        <v>70164863</v>
      </c>
      <c r="W298" s="30" t="str">
        <f>"－"</f>
        <v>－</v>
      </c>
      <c r="X298" s="34">
        <f>20</f>
        <v>20</v>
      </c>
    </row>
    <row r="299" spans="1:24">
      <c r="A299" s="25" t="s">
        <v>1128</v>
      </c>
      <c r="B299" s="25" t="s">
        <v>687</v>
      </c>
      <c r="C299" s="25" t="s">
        <v>688</v>
      </c>
      <c r="D299" s="25" t="s">
        <v>689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1714</f>
        <v>1714</v>
      </c>
      <c r="L299" s="32" t="s">
        <v>1110</v>
      </c>
      <c r="M299" s="31">
        <f>1762</f>
        <v>1762</v>
      </c>
      <c r="N299" s="32" t="s">
        <v>1124</v>
      </c>
      <c r="O299" s="31">
        <f>1597</f>
        <v>1597</v>
      </c>
      <c r="P299" s="32" t="s">
        <v>1114</v>
      </c>
      <c r="Q299" s="31">
        <f>1606</f>
        <v>1606</v>
      </c>
      <c r="R299" s="32" t="s">
        <v>883</v>
      </c>
      <c r="S299" s="33">
        <f>1693.35</f>
        <v>1693.35</v>
      </c>
      <c r="T299" s="30">
        <f>31350</f>
        <v>31350</v>
      </c>
      <c r="U299" s="30" t="str">
        <f>"－"</f>
        <v>－</v>
      </c>
      <c r="V299" s="30">
        <f>53020233</f>
        <v>53020233</v>
      </c>
      <c r="W299" s="30" t="str">
        <f>"－"</f>
        <v>－</v>
      </c>
      <c r="X299" s="34">
        <f>20</f>
        <v>20</v>
      </c>
    </row>
    <row r="300" spans="1:24">
      <c r="A300" s="25" t="s">
        <v>1128</v>
      </c>
      <c r="B300" s="25" t="s">
        <v>690</v>
      </c>
      <c r="C300" s="25" t="s">
        <v>691</v>
      </c>
      <c r="D300" s="25" t="s">
        <v>692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2267</f>
        <v>2267</v>
      </c>
      <c r="L300" s="32" t="s">
        <v>1110</v>
      </c>
      <c r="M300" s="31">
        <f>2390</f>
        <v>2390</v>
      </c>
      <c r="N300" s="32" t="s">
        <v>1112</v>
      </c>
      <c r="O300" s="31">
        <f>2262</f>
        <v>2262</v>
      </c>
      <c r="P300" s="32" t="s">
        <v>684</v>
      </c>
      <c r="Q300" s="31">
        <f>2318</f>
        <v>2318</v>
      </c>
      <c r="R300" s="32" t="s">
        <v>883</v>
      </c>
      <c r="S300" s="33">
        <f>2335.45</f>
        <v>2335.4499999999998</v>
      </c>
      <c r="T300" s="30">
        <f>6888</f>
        <v>6888</v>
      </c>
      <c r="U300" s="30" t="str">
        <f>"－"</f>
        <v>－</v>
      </c>
      <c r="V300" s="30">
        <f>15973855</f>
        <v>15973855</v>
      </c>
      <c r="W300" s="30" t="str">
        <f>"－"</f>
        <v>－</v>
      </c>
      <c r="X300" s="34">
        <f>20</f>
        <v>20</v>
      </c>
    </row>
    <row r="301" spans="1:24">
      <c r="A301" s="25" t="s">
        <v>1128</v>
      </c>
      <c r="B301" s="25" t="s">
        <v>693</v>
      </c>
      <c r="C301" s="25" t="s">
        <v>694</v>
      </c>
      <c r="D301" s="25" t="s">
        <v>695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</v>
      </c>
      <c r="K301" s="31">
        <f>11865</f>
        <v>11865</v>
      </c>
      <c r="L301" s="32" t="s">
        <v>1110</v>
      </c>
      <c r="M301" s="31">
        <f>12225</f>
        <v>12225</v>
      </c>
      <c r="N301" s="32" t="s">
        <v>883</v>
      </c>
      <c r="O301" s="31">
        <f>11840</f>
        <v>11840</v>
      </c>
      <c r="P301" s="32" t="s">
        <v>1124</v>
      </c>
      <c r="Q301" s="31">
        <f>12190</f>
        <v>12190</v>
      </c>
      <c r="R301" s="32" t="s">
        <v>883</v>
      </c>
      <c r="S301" s="33">
        <f>12042</f>
        <v>12042</v>
      </c>
      <c r="T301" s="30">
        <f>157104</f>
        <v>157104</v>
      </c>
      <c r="U301" s="30">
        <f>33</f>
        <v>33</v>
      </c>
      <c r="V301" s="30">
        <f>1887429280</f>
        <v>1887429280</v>
      </c>
      <c r="W301" s="30">
        <f>393030</f>
        <v>393030</v>
      </c>
      <c r="X301" s="34">
        <f>20</f>
        <v>20</v>
      </c>
    </row>
    <row r="302" spans="1:24">
      <c r="A302" s="25" t="s">
        <v>1128</v>
      </c>
      <c r="B302" s="25" t="s">
        <v>696</v>
      </c>
      <c r="C302" s="25" t="s">
        <v>697</v>
      </c>
      <c r="D302" s="25" t="s">
        <v>698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</v>
      </c>
      <c r="K302" s="31">
        <f>19420</f>
        <v>19420</v>
      </c>
      <c r="L302" s="32" t="s">
        <v>1110</v>
      </c>
      <c r="M302" s="31">
        <f>20005</f>
        <v>20005</v>
      </c>
      <c r="N302" s="32" t="s">
        <v>874</v>
      </c>
      <c r="O302" s="31">
        <f>18950</f>
        <v>18950</v>
      </c>
      <c r="P302" s="32" t="s">
        <v>684</v>
      </c>
      <c r="Q302" s="31">
        <f>19850</f>
        <v>19850</v>
      </c>
      <c r="R302" s="32" t="s">
        <v>883</v>
      </c>
      <c r="S302" s="33">
        <f>19536.75</f>
        <v>19536.75</v>
      </c>
      <c r="T302" s="30">
        <f>491472</f>
        <v>491472</v>
      </c>
      <c r="U302" s="30">
        <f>7100</f>
        <v>7100</v>
      </c>
      <c r="V302" s="30">
        <f>9594858992</f>
        <v>9594858992</v>
      </c>
      <c r="W302" s="30">
        <f>140770767</f>
        <v>140770767</v>
      </c>
      <c r="X302" s="34">
        <f>20</f>
        <v>20</v>
      </c>
    </row>
    <row r="303" spans="1:24">
      <c r="A303" s="25" t="s">
        <v>1128</v>
      </c>
      <c r="B303" s="25" t="s">
        <v>699</v>
      </c>
      <c r="C303" s="25" t="s">
        <v>700</v>
      </c>
      <c r="D303" s="25" t="s">
        <v>701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</v>
      </c>
      <c r="K303" s="31">
        <f>12200</f>
        <v>12200</v>
      </c>
      <c r="L303" s="32" t="s">
        <v>1110</v>
      </c>
      <c r="M303" s="31">
        <f>12415</f>
        <v>12415</v>
      </c>
      <c r="N303" s="32" t="s">
        <v>1112</v>
      </c>
      <c r="O303" s="31">
        <f>12045</f>
        <v>12045</v>
      </c>
      <c r="P303" s="32" t="s">
        <v>678</v>
      </c>
      <c r="Q303" s="31">
        <f>12320</f>
        <v>12320</v>
      </c>
      <c r="R303" s="32" t="s">
        <v>883</v>
      </c>
      <c r="S303" s="33">
        <f>12274.5</f>
        <v>12274.5</v>
      </c>
      <c r="T303" s="30">
        <f>385966</f>
        <v>385966</v>
      </c>
      <c r="U303" s="30">
        <f>164165</f>
        <v>164165</v>
      </c>
      <c r="V303" s="30">
        <f>4732968085</f>
        <v>4732968085</v>
      </c>
      <c r="W303" s="30">
        <f>2011603275</f>
        <v>2011603275</v>
      </c>
      <c r="X303" s="34">
        <f>20</f>
        <v>20</v>
      </c>
    </row>
    <row r="304" spans="1:24">
      <c r="A304" s="25" t="s">
        <v>1128</v>
      </c>
      <c r="B304" s="25" t="s">
        <v>702</v>
      </c>
      <c r="C304" s="25" t="s">
        <v>703</v>
      </c>
      <c r="D304" s="25" t="s">
        <v>704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10</v>
      </c>
      <c r="K304" s="31">
        <f>353.3</f>
        <v>353.3</v>
      </c>
      <c r="L304" s="32" t="s">
        <v>1110</v>
      </c>
      <c r="M304" s="31">
        <f>374.1</f>
        <v>374.1</v>
      </c>
      <c r="N304" s="32" t="s">
        <v>883</v>
      </c>
      <c r="O304" s="31">
        <f>345.8</f>
        <v>345.8</v>
      </c>
      <c r="P304" s="32" t="s">
        <v>684</v>
      </c>
      <c r="Q304" s="31">
        <f>366.4</f>
        <v>366.4</v>
      </c>
      <c r="R304" s="32" t="s">
        <v>883</v>
      </c>
      <c r="S304" s="33">
        <f>357.06</f>
        <v>357.06</v>
      </c>
      <c r="T304" s="30">
        <f>9730550</f>
        <v>9730550</v>
      </c>
      <c r="U304" s="30">
        <f>688700</f>
        <v>688700</v>
      </c>
      <c r="V304" s="30">
        <f>3478069540</f>
        <v>3478069540</v>
      </c>
      <c r="W304" s="30">
        <f>249948036</f>
        <v>249948036</v>
      </c>
      <c r="X304" s="34">
        <f>20</f>
        <v>20</v>
      </c>
    </row>
    <row r="305" spans="1:24">
      <c r="A305" s="25" t="s">
        <v>1128</v>
      </c>
      <c r="B305" s="25" t="s">
        <v>705</v>
      </c>
      <c r="C305" s="25" t="s">
        <v>706</v>
      </c>
      <c r="D305" s="25" t="s">
        <v>707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10</v>
      </c>
      <c r="K305" s="31">
        <f>2337.5</f>
        <v>2337.5</v>
      </c>
      <c r="L305" s="32" t="s">
        <v>1110</v>
      </c>
      <c r="M305" s="31">
        <f>2394.5</f>
        <v>2394.5</v>
      </c>
      <c r="N305" s="32" t="s">
        <v>883</v>
      </c>
      <c r="O305" s="31">
        <f>2320</f>
        <v>2320</v>
      </c>
      <c r="P305" s="32" t="s">
        <v>1115</v>
      </c>
      <c r="Q305" s="31">
        <f>2383.5</f>
        <v>2383.5</v>
      </c>
      <c r="R305" s="32" t="s">
        <v>883</v>
      </c>
      <c r="S305" s="33">
        <f>2357.63</f>
        <v>2357.63</v>
      </c>
      <c r="T305" s="30">
        <f>1213450</f>
        <v>1213450</v>
      </c>
      <c r="U305" s="30">
        <f>516100</f>
        <v>516100</v>
      </c>
      <c r="V305" s="30">
        <f>2850964169</f>
        <v>2850964169</v>
      </c>
      <c r="W305" s="30">
        <f>1208479614</f>
        <v>1208479614</v>
      </c>
      <c r="X305" s="34">
        <f>20</f>
        <v>20</v>
      </c>
    </row>
    <row r="306" spans="1:24">
      <c r="A306" s="25" t="s">
        <v>1128</v>
      </c>
      <c r="B306" s="25" t="s">
        <v>708</v>
      </c>
      <c r="C306" s="25" t="s">
        <v>709</v>
      </c>
      <c r="D306" s="25" t="s">
        <v>710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10</v>
      </c>
      <c r="K306" s="31">
        <f>3658</f>
        <v>3658</v>
      </c>
      <c r="L306" s="32" t="s">
        <v>1110</v>
      </c>
      <c r="M306" s="31">
        <f>3795</f>
        <v>3795</v>
      </c>
      <c r="N306" s="32" t="s">
        <v>883</v>
      </c>
      <c r="O306" s="31">
        <f>3567</f>
        <v>3567</v>
      </c>
      <c r="P306" s="32" t="s">
        <v>684</v>
      </c>
      <c r="Q306" s="31">
        <f>3795</f>
        <v>3795</v>
      </c>
      <c r="R306" s="32" t="s">
        <v>883</v>
      </c>
      <c r="S306" s="33">
        <f>3690.1</f>
        <v>3690.1</v>
      </c>
      <c r="T306" s="30">
        <f>11400</f>
        <v>11400</v>
      </c>
      <c r="U306" s="30">
        <f>30</f>
        <v>30</v>
      </c>
      <c r="V306" s="30">
        <f>42034510</f>
        <v>42034510</v>
      </c>
      <c r="W306" s="30">
        <f>112320</f>
        <v>112320</v>
      </c>
      <c r="X306" s="34">
        <f>20</f>
        <v>20</v>
      </c>
    </row>
    <row r="307" spans="1:24">
      <c r="A307" s="25" t="s">
        <v>1128</v>
      </c>
      <c r="B307" s="25" t="s">
        <v>711</v>
      </c>
      <c r="C307" s="25" t="s">
        <v>712</v>
      </c>
      <c r="D307" s="25" t="s">
        <v>713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3295</f>
        <v>3295</v>
      </c>
      <c r="L307" s="32" t="s">
        <v>1110</v>
      </c>
      <c r="M307" s="31">
        <f>3475</f>
        <v>3475</v>
      </c>
      <c r="N307" s="32" t="s">
        <v>675</v>
      </c>
      <c r="O307" s="31">
        <f>3205</f>
        <v>3205</v>
      </c>
      <c r="P307" s="32" t="s">
        <v>678</v>
      </c>
      <c r="Q307" s="31">
        <f>3365</f>
        <v>3365</v>
      </c>
      <c r="R307" s="32" t="s">
        <v>883</v>
      </c>
      <c r="S307" s="33">
        <f>3328.75</f>
        <v>3328.75</v>
      </c>
      <c r="T307" s="30">
        <f>22285</f>
        <v>22285</v>
      </c>
      <c r="U307" s="30" t="str">
        <f>"－"</f>
        <v>－</v>
      </c>
      <c r="V307" s="30">
        <f>74732410</f>
        <v>74732410</v>
      </c>
      <c r="W307" s="30" t="str">
        <f>"－"</f>
        <v>－</v>
      </c>
      <c r="X307" s="34">
        <f>20</f>
        <v>20</v>
      </c>
    </row>
    <row r="308" spans="1:24">
      <c r="A308" s="25" t="s">
        <v>1128</v>
      </c>
      <c r="B308" s="25" t="s">
        <v>714</v>
      </c>
      <c r="C308" s="25" t="s">
        <v>1035</v>
      </c>
      <c r="D308" s="25" t="s">
        <v>1034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1658</f>
        <v>1658</v>
      </c>
      <c r="L308" s="32" t="s">
        <v>1110</v>
      </c>
      <c r="M308" s="31">
        <f>1701</f>
        <v>1701</v>
      </c>
      <c r="N308" s="32" t="s">
        <v>883</v>
      </c>
      <c r="O308" s="31">
        <f>1625</f>
        <v>1625</v>
      </c>
      <c r="P308" s="32" t="s">
        <v>677</v>
      </c>
      <c r="Q308" s="31">
        <f>1701</f>
        <v>1701</v>
      </c>
      <c r="R308" s="32" t="s">
        <v>883</v>
      </c>
      <c r="S308" s="33">
        <f>1673</f>
        <v>1673</v>
      </c>
      <c r="T308" s="30">
        <f>64965</f>
        <v>64965</v>
      </c>
      <c r="U308" s="30">
        <f>1</f>
        <v>1</v>
      </c>
      <c r="V308" s="30">
        <f>107881415</f>
        <v>107881415</v>
      </c>
      <c r="W308" s="30">
        <f>1701</f>
        <v>1701</v>
      </c>
      <c r="X308" s="34">
        <f>20</f>
        <v>20</v>
      </c>
    </row>
    <row r="309" spans="1:24">
      <c r="A309" s="25" t="s">
        <v>1128</v>
      </c>
      <c r="B309" s="25" t="s">
        <v>715</v>
      </c>
      <c r="C309" s="25" t="s">
        <v>716</v>
      </c>
      <c r="D309" s="25" t="s">
        <v>717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2153</f>
        <v>2153</v>
      </c>
      <c r="L309" s="32" t="s">
        <v>1110</v>
      </c>
      <c r="M309" s="31">
        <f>2200</f>
        <v>2200</v>
      </c>
      <c r="N309" s="32" t="s">
        <v>1115</v>
      </c>
      <c r="O309" s="31">
        <f>2050</f>
        <v>2050</v>
      </c>
      <c r="P309" s="32" t="s">
        <v>677</v>
      </c>
      <c r="Q309" s="31">
        <f>2137</f>
        <v>2137</v>
      </c>
      <c r="R309" s="32" t="s">
        <v>883</v>
      </c>
      <c r="S309" s="33">
        <f>2136</f>
        <v>2136</v>
      </c>
      <c r="T309" s="30">
        <f>268404</f>
        <v>268404</v>
      </c>
      <c r="U309" s="30">
        <f>10001</f>
        <v>10001</v>
      </c>
      <c r="V309" s="30">
        <f>570084551</f>
        <v>570084551</v>
      </c>
      <c r="W309" s="30">
        <f>21463170</f>
        <v>21463170</v>
      </c>
      <c r="X309" s="34">
        <f>20</f>
        <v>20</v>
      </c>
    </row>
    <row r="310" spans="1:24">
      <c r="A310" s="25" t="s">
        <v>1128</v>
      </c>
      <c r="B310" s="25" t="s">
        <v>718</v>
      </c>
      <c r="C310" s="25" t="s">
        <v>719</v>
      </c>
      <c r="D310" s="25" t="s">
        <v>720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1677</f>
        <v>1677</v>
      </c>
      <c r="L310" s="32" t="s">
        <v>1110</v>
      </c>
      <c r="M310" s="31">
        <f>1696</f>
        <v>1696</v>
      </c>
      <c r="N310" s="32" t="s">
        <v>675</v>
      </c>
      <c r="O310" s="31">
        <f>1624</f>
        <v>1624</v>
      </c>
      <c r="P310" s="32" t="s">
        <v>1117</v>
      </c>
      <c r="Q310" s="31">
        <f>1642</f>
        <v>1642</v>
      </c>
      <c r="R310" s="32" t="s">
        <v>883</v>
      </c>
      <c r="S310" s="33">
        <f>1658.9</f>
        <v>1658.9</v>
      </c>
      <c r="T310" s="30">
        <f>39010</f>
        <v>39010</v>
      </c>
      <c r="U310" s="30" t="str">
        <f>"－"</f>
        <v>－</v>
      </c>
      <c r="V310" s="30">
        <f>64981563</f>
        <v>64981563</v>
      </c>
      <c r="W310" s="30" t="str">
        <f>"－"</f>
        <v>－</v>
      </c>
      <c r="X310" s="34">
        <f>20</f>
        <v>20</v>
      </c>
    </row>
    <row r="311" spans="1:24">
      <c r="A311" s="25" t="s">
        <v>1128</v>
      </c>
      <c r="B311" s="25" t="s">
        <v>721</v>
      </c>
      <c r="C311" s="25" t="s">
        <v>722</v>
      </c>
      <c r="D311" s="25" t="s">
        <v>723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3025</f>
        <v>3025</v>
      </c>
      <c r="L311" s="32" t="s">
        <v>1110</v>
      </c>
      <c r="M311" s="31">
        <f>3035</f>
        <v>3035</v>
      </c>
      <c r="N311" s="32" t="s">
        <v>1112</v>
      </c>
      <c r="O311" s="31">
        <f>2881</f>
        <v>2881</v>
      </c>
      <c r="P311" s="32" t="s">
        <v>677</v>
      </c>
      <c r="Q311" s="31">
        <f>2964</f>
        <v>2964</v>
      </c>
      <c r="R311" s="32" t="s">
        <v>883</v>
      </c>
      <c r="S311" s="33">
        <f>2954.5</f>
        <v>2954.5</v>
      </c>
      <c r="T311" s="30">
        <f>37767</f>
        <v>37767</v>
      </c>
      <c r="U311" s="30" t="str">
        <f>"－"</f>
        <v>－</v>
      </c>
      <c r="V311" s="30">
        <f>111726143</f>
        <v>111726143</v>
      </c>
      <c r="W311" s="30" t="str">
        <f>"－"</f>
        <v>－</v>
      </c>
      <c r="X311" s="34">
        <f>20</f>
        <v>20</v>
      </c>
    </row>
    <row r="312" spans="1:24">
      <c r="A312" s="25" t="s">
        <v>1128</v>
      </c>
      <c r="B312" s="25" t="s">
        <v>724</v>
      </c>
      <c r="C312" s="25" t="s">
        <v>1033</v>
      </c>
      <c r="D312" s="25" t="s">
        <v>1032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2965</f>
        <v>2965</v>
      </c>
      <c r="L312" s="32" t="s">
        <v>1110</v>
      </c>
      <c r="M312" s="31">
        <f>3185</f>
        <v>3185</v>
      </c>
      <c r="N312" s="32" t="s">
        <v>675</v>
      </c>
      <c r="O312" s="31">
        <f>2868</f>
        <v>2868</v>
      </c>
      <c r="P312" s="32" t="s">
        <v>677</v>
      </c>
      <c r="Q312" s="31">
        <f>3135</f>
        <v>3135</v>
      </c>
      <c r="R312" s="32" t="s">
        <v>883</v>
      </c>
      <c r="S312" s="33">
        <f>3040.95</f>
        <v>3040.95</v>
      </c>
      <c r="T312" s="30">
        <f>838214</f>
        <v>838214</v>
      </c>
      <c r="U312" s="30">
        <f>321030</f>
        <v>321030</v>
      </c>
      <c r="V312" s="30">
        <f>2562382657</f>
        <v>2562382657</v>
      </c>
      <c r="W312" s="30">
        <f>1007141835</f>
        <v>1007141835</v>
      </c>
      <c r="X312" s="34">
        <f>20</f>
        <v>20</v>
      </c>
    </row>
    <row r="313" spans="1:24">
      <c r="A313" s="25" t="s">
        <v>1128</v>
      </c>
      <c r="B313" s="25" t="s">
        <v>725</v>
      </c>
      <c r="C313" s="25" t="s">
        <v>726</v>
      </c>
      <c r="D313" s="25" t="s">
        <v>727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35520</f>
        <v>35520</v>
      </c>
      <c r="L313" s="32" t="s">
        <v>1110</v>
      </c>
      <c r="M313" s="31">
        <f>37210</f>
        <v>37210</v>
      </c>
      <c r="N313" s="32" t="s">
        <v>874</v>
      </c>
      <c r="O313" s="31">
        <f>34730</f>
        <v>34730</v>
      </c>
      <c r="P313" s="32" t="s">
        <v>677</v>
      </c>
      <c r="Q313" s="31">
        <f>36890</f>
        <v>36890</v>
      </c>
      <c r="R313" s="32" t="s">
        <v>883</v>
      </c>
      <c r="S313" s="33">
        <f>36053.5</f>
        <v>36053.5</v>
      </c>
      <c r="T313" s="30">
        <f>1637</f>
        <v>1637</v>
      </c>
      <c r="U313" s="30" t="str">
        <f>"－"</f>
        <v>－</v>
      </c>
      <c r="V313" s="30">
        <f>58786190</f>
        <v>58786190</v>
      </c>
      <c r="W313" s="30" t="str">
        <f>"－"</f>
        <v>－</v>
      </c>
      <c r="X313" s="34">
        <f>20</f>
        <v>20</v>
      </c>
    </row>
    <row r="314" spans="1:24">
      <c r="A314" s="25" t="s">
        <v>1128</v>
      </c>
      <c r="B314" s="25" t="s">
        <v>728</v>
      </c>
      <c r="C314" s="25" t="s">
        <v>729</v>
      </c>
      <c r="D314" s="25" t="s">
        <v>730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2819</f>
        <v>2819</v>
      </c>
      <c r="L314" s="32" t="s">
        <v>1110</v>
      </c>
      <c r="M314" s="31">
        <f>2967</f>
        <v>2967</v>
      </c>
      <c r="N314" s="32" t="s">
        <v>1112</v>
      </c>
      <c r="O314" s="31">
        <f>2714</f>
        <v>2714</v>
      </c>
      <c r="P314" s="32" t="s">
        <v>677</v>
      </c>
      <c r="Q314" s="31">
        <f>2896</f>
        <v>2896</v>
      </c>
      <c r="R314" s="32" t="s">
        <v>883</v>
      </c>
      <c r="S314" s="33">
        <f>2819.79</f>
        <v>2819.79</v>
      </c>
      <c r="T314" s="30">
        <f>3492</f>
        <v>3492</v>
      </c>
      <c r="U314" s="30" t="str">
        <f>"－"</f>
        <v>－</v>
      </c>
      <c r="V314" s="30">
        <f>9915675</f>
        <v>9915675</v>
      </c>
      <c r="W314" s="30" t="str">
        <f>"－"</f>
        <v>－</v>
      </c>
      <c r="X314" s="34">
        <f>19</f>
        <v>19</v>
      </c>
    </row>
    <row r="315" spans="1:24">
      <c r="A315" s="25" t="s">
        <v>1128</v>
      </c>
      <c r="B315" s="25" t="s">
        <v>731</v>
      </c>
      <c r="C315" s="25" t="s">
        <v>732</v>
      </c>
      <c r="D315" s="25" t="s">
        <v>733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</v>
      </c>
      <c r="K315" s="31">
        <f>4865</f>
        <v>4865</v>
      </c>
      <c r="L315" s="32" t="s">
        <v>1110</v>
      </c>
      <c r="M315" s="31">
        <f>5150</f>
        <v>5150</v>
      </c>
      <c r="N315" s="32" t="s">
        <v>1115</v>
      </c>
      <c r="O315" s="31">
        <f>4575</f>
        <v>4575</v>
      </c>
      <c r="P315" s="32" t="s">
        <v>875</v>
      </c>
      <c r="Q315" s="31">
        <f>5120</f>
        <v>5120</v>
      </c>
      <c r="R315" s="32" t="s">
        <v>883</v>
      </c>
      <c r="S315" s="33">
        <f>4905</f>
        <v>4905</v>
      </c>
      <c r="T315" s="30">
        <f>21517312</f>
        <v>21517312</v>
      </c>
      <c r="U315" s="30">
        <f>460527</f>
        <v>460527</v>
      </c>
      <c r="V315" s="30">
        <f>105366966191</f>
        <v>105366966191</v>
      </c>
      <c r="W315" s="30">
        <f>2210753066</f>
        <v>2210753066</v>
      </c>
      <c r="X315" s="34">
        <f>20</f>
        <v>20</v>
      </c>
    </row>
    <row r="316" spans="1:24">
      <c r="A316" s="25" t="s">
        <v>1128</v>
      </c>
      <c r="B316" s="25" t="s">
        <v>734</v>
      </c>
      <c r="C316" s="25" t="s">
        <v>735</v>
      </c>
      <c r="D316" s="25" t="s">
        <v>736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</v>
      </c>
      <c r="K316" s="31">
        <f>2091</f>
        <v>2091</v>
      </c>
      <c r="L316" s="32" t="s">
        <v>1110</v>
      </c>
      <c r="M316" s="31">
        <f>2180</f>
        <v>2180</v>
      </c>
      <c r="N316" s="32" t="s">
        <v>679</v>
      </c>
      <c r="O316" s="31">
        <f>2042</f>
        <v>2042</v>
      </c>
      <c r="P316" s="32" t="s">
        <v>677</v>
      </c>
      <c r="Q316" s="31">
        <f>2151</f>
        <v>2151</v>
      </c>
      <c r="R316" s="32" t="s">
        <v>883</v>
      </c>
      <c r="S316" s="33">
        <f>2109.2</f>
        <v>2109.1999999999998</v>
      </c>
      <c r="T316" s="30">
        <f>56661</f>
        <v>56661</v>
      </c>
      <c r="U316" s="30" t="str">
        <f>"－"</f>
        <v>－</v>
      </c>
      <c r="V316" s="30">
        <f>119263585</f>
        <v>119263585</v>
      </c>
      <c r="W316" s="30" t="str">
        <f>"－"</f>
        <v>－</v>
      </c>
      <c r="X316" s="34">
        <f>20</f>
        <v>20</v>
      </c>
    </row>
    <row r="317" spans="1:24">
      <c r="A317" s="25" t="s">
        <v>1128</v>
      </c>
      <c r="B317" s="25" t="s">
        <v>737</v>
      </c>
      <c r="C317" s="25" t="s">
        <v>738</v>
      </c>
      <c r="D317" s="25" t="s">
        <v>739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</v>
      </c>
      <c r="K317" s="31">
        <f>1830</f>
        <v>1830</v>
      </c>
      <c r="L317" s="32" t="s">
        <v>1110</v>
      </c>
      <c r="M317" s="31">
        <f>1960</f>
        <v>1960</v>
      </c>
      <c r="N317" s="32" t="s">
        <v>1111</v>
      </c>
      <c r="O317" s="31">
        <f>1782</f>
        <v>1782</v>
      </c>
      <c r="P317" s="32" t="s">
        <v>677</v>
      </c>
      <c r="Q317" s="31">
        <f>1950</f>
        <v>1950</v>
      </c>
      <c r="R317" s="32" t="s">
        <v>883</v>
      </c>
      <c r="S317" s="33">
        <f>1880.4</f>
        <v>1880.4</v>
      </c>
      <c r="T317" s="30">
        <f>10319</f>
        <v>10319</v>
      </c>
      <c r="U317" s="30" t="str">
        <f>"－"</f>
        <v>－</v>
      </c>
      <c r="V317" s="30">
        <f>19399733</f>
        <v>19399733</v>
      </c>
      <c r="W317" s="30" t="str">
        <f>"－"</f>
        <v>－</v>
      </c>
      <c r="X317" s="34">
        <f>20</f>
        <v>20</v>
      </c>
    </row>
    <row r="318" spans="1:24">
      <c r="A318" s="25" t="s">
        <v>1128</v>
      </c>
      <c r="B318" s="25" t="s">
        <v>740</v>
      </c>
      <c r="C318" s="25" t="s">
        <v>741</v>
      </c>
      <c r="D318" s="25" t="s">
        <v>742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10</v>
      </c>
      <c r="K318" s="31">
        <f>5555</f>
        <v>5555</v>
      </c>
      <c r="L318" s="32" t="s">
        <v>1110</v>
      </c>
      <c r="M318" s="31">
        <f>5611</f>
        <v>5611</v>
      </c>
      <c r="N318" s="32" t="s">
        <v>1114</v>
      </c>
      <c r="O318" s="31">
        <f>5440</f>
        <v>5440</v>
      </c>
      <c r="P318" s="32" t="s">
        <v>875</v>
      </c>
      <c r="Q318" s="31">
        <f>5611</f>
        <v>5611</v>
      </c>
      <c r="R318" s="32" t="s">
        <v>883</v>
      </c>
      <c r="S318" s="33">
        <f>5537.11</f>
        <v>5537.11</v>
      </c>
      <c r="T318" s="30">
        <f>263680</f>
        <v>263680</v>
      </c>
      <c r="U318" s="30">
        <f>19000</f>
        <v>19000</v>
      </c>
      <c r="V318" s="30">
        <f>1464456189</f>
        <v>1464456189</v>
      </c>
      <c r="W318" s="30">
        <f>105391709</f>
        <v>105391709</v>
      </c>
      <c r="X318" s="34">
        <f>18</f>
        <v>18</v>
      </c>
    </row>
    <row r="319" spans="1:24">
      <c r="A319" s="25" t="s">
        <v>1128</v>
      </c>
      <c r="B319" s="25" t="s">
        <v>743</v>
      </c>
      <c r="C319" s="25" t="s">
        <v>744</v>
      </c>
      <c r="D319" s="25" t="s">
        <v>745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10</v>
      </c>
      <c r="K319" s="31">
        <f>3776</f>
        <v>3776</v>
      </c>
      <c r="L319" s="32" t="s">
        <v>1110</v>
      </c>
      <c r="M319" s="31">
        <f>4073</f>
        <v>4073</v>
      </c>
      <c r="N319" s="32" t="s">
        <v>674</v>
      </c>
      <c r="O319" s="31">
        <f>3734</f>
        <v>3734</v>
      </c>
      <c r="P319" s="32" t="s">
        <v>680</v>
      </c>
      <c r="Q319" s="31">
        <f>3832</f>
        <v>3832</v>
      </c>
      <c r="R319" s="32" t="s">
        <v>883</v>
      </c>
      <c r="S319" s="33">
        <f>3776.55</f>
        <v>3776.55</v>
      </c>
      <c r="T319" s="30">
        <f>767310</f>
        <v>767310</v>
      </c>
      <c r="U319" s="30">
        <f>704100</f>
        <v>704100</v>
      </c>
      <c r="V319" s="30">
        <f>2882282859</f>
        <v>2882282859</v>
      </c>
      <c r="W319" s="30">
        <f>2644786309</f>
        <v>2644786309</v>
      </c>
      <c r="X319" s="34">
        <f>20</f>
        <v>20</v>
      </c>
    </row>
    <row r="320" spans="1:24">
      <c r="A320" s="25" t="s">
        <v>1128</v>
      </c>
      <c r="B320" s="25" t="s">
        <v>746</v>
      </c>
      <c r="C320" s="25" t="s">
        <v>747</v>
      </c>
      <c r="D320" s="25" t="s">
        <v>748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10</v>
      </c>
      <c r="K320" s="31">
        <f>637</f>
        <v>637</v>
      </c>
      <c r="L320" s="32" t="s">
        <v>1110</v>
      </c>
      <c r="M320" s="31">
        <f>643.2</f>
        <v>643.20000000000005</v>
      </c>
      <c r="N320" s="32" t="s">
        <v>684</v>
      </c>
      <c r="O320" s="31">
        <f>633.5</f>
        <v>633.5</v>
      </c>
      <c r="P320" s="32" t="s">
        <v>680</v>
      </c>
      <c r="Q320" s="31">
        <f>640.1</f>
        <v>640.1</v>
      </c>
      <c r="R320" s="32" t="s">
        <v>883</v>
      </c>
      <c r="S320" s="33">
        <f>638.96</f>
        <v>638.96</v>
      </c>
      <c r="T320" s="30">
        <f>6250</f>
        <v>6250</v>
      </c>
      <c r="U320" s="30" t="str">
        <f>"－"</f>
        <v>－</v>
      </c>
      <c r="V320" s="30">
        <f>3984510</f>
        <v>3984510</v>
      </c>
      <c r="W320" s="30" t="str">
        <f>"－"</f>
        <v>－</v>
      </c>
      <c r="X320" s="34">
        <f>20</f>
        <v>20</v>
      </c>
    </row>
    <row r="321" spans="1:24">
      <c r="A321" s="25" t="s">
        <v>1128</v>
      </c>
      <c r="B321" s="25" t="s">
        <v>749</v>
      </c>
      <c r="C321" s="25" t="s">
        <v>750</v>
      </c>
      <c r="D321" s="25" t="s">
        <v>751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2618</f>
        <v>2618</v>
      </c>
      <c r="L321" s="32" t="s">
        <v>1110</v>
      </c>
      <c r="M321" s="31">
        <f>2683</f>
        <v>2683</v>
      </c>
      <c r="N321" s="32" t="s">
        <v>1115</v>
      </c>
      <c r="O321" s="31">
        <f>2502</f>
        <v>2502</v>
      </c>
      <c r="P321" s="32" t="s">
        <v>875</v>
      </c>
      <c r="Q321" s="31">
        <f>2612</f>
        <v>2612</v>
      </c>
      <c r="R321" s="32" t="s">
        <v>883</v>
      </c>
      <c r="S321" s="33">
        <f>2600.85</f>
        <v>2600.85</v>
      </c>
      <c r="T321" s="30">
        <f>5192</f>
        <v>5192</v>
      </c>
      <c r="U321" s="30" t="str">
        <f>"－"</f>
        <v>－</v>
      </c>
      <c r="V321" s="30">
        <f>13516856</f>
        <v>13516856</v>
      </c>
      <c r="W321" s="30" t="str">
        <f>"－"</f>
        <v>－</v>
      </c>
      <c r="X321" s="34">
        <f>20</f>
        <v>20</v>
      </c>
    </row>
    <row r="322" spans="1:24">
      <c r="A322" s="25" t="s">
        <v>1128</v>
      </c>
      <c r="B322" s="25" t="s">
        <v>752</v>
      </c>
      <c r="C322" s="25" t="s">
        <v>1031</v>
      </c>
      <c r="D322" s="25" t="s">
        <v>1030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2279</f>
        <v>2279</v>
      </c>
      <c r="L322" s="32" t="s">
        <v>1110</v>
      </c>
      <c r="M322" s="31">
        <f>2470</f>
        <v>2470</v>
      </c>
      <c r="N322" s="32" t="s">
        <v>875</v>
      </c>
      <c r="O322" s="31">
        <f>2182</f>
        <v>2182</v>
      </c>
      <c r="P322" s="32" t="s">
        <v>1117</v>
      </c>
      <c r="Q322" s="31">
        <f>2234</f>
        <v>2234</v>
      </c>
      <c r="R322" s="32" t="s">
        <v>883</v>
      </c>
      <c r="S322" s="33">
        <f>2246.1</f>
        <v>2246.1</v>
      </c>
      <c r="T322" s="30">
        <f>16117</f>
        <v>16117</v>
      </c>
      <c r="U322" s="30">
        <f>4</f>
        <v>4</v>
      </c>
      <c r="V322" s="30">
        <f>36122069</f>
        <v>36122069</v>
      </c>
      <c r="W322" s="30">
        <f>9284</f>
        <v>9284</v>
      </c>
      <c r="X322" s="34">
        <f>20</f>
        <v>20</v>
      </c>
    </row>
    <row r="323" spans="1:24">
      <c r="A323" s="25" t="s">
        <v>1128</v>
      </c>
      <c r="B323" s="25" t="s">
        <v>753</v>
      </c>
      <c r="C323" s="25" t="s">
        <v>754</v>
      </c>
      <c r="D323" s="25" t="s">
        <v>755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8245</f>
        <v>8245</v>
      </c>
      <c r="L323" s="32" t="s">
        <v>1110</v>
      </c>
      <c r="M323" s="31">
        <f>8391</f>
        <v>8391</v>
      </c>
      <c r="N323" s="32" t="s">
        <v>1111</v>
      </c>
      <c r="O323" s="31">
        <f>8146</f>
        <v>8146</v>
      </c>
      <c r="P323" s="32" t="s">
        <v>875</v>
      </c>
      <c r="Q323" s="31">
        <f>8375</f>
        <v>8375</v>
      </c>
      <c r="R323" s="32" t="s">
        <v>883</v>
      </c>
      <c r="S323" s="33">
        <f>8272.45</f>
        <v>8272.4500000000007</v>
      </c>
      <c r="T323" s="30">
        <f>291022</f>
        <v>291022</v>
      </c>
      <c r="U323" s="30">
        <f>250004</f>
        <v>250004</v>
      </c>
      <c r="V323" s="30">
        <f>2381749000</f>
        <v>2381749000</v>
      </c>
      <c r="W323" s="30">
        <f>2041319659</f>
        <v>2041319659</v>
      </c>
      <c r="X323" s="34">
        <f>20</f>
        <v>20</v>
      </c>
    </row>
    <row r="324" spans="1:24">
      <c r="A324" s="25" t="s">
        <v>1128</v>
      </c>
      <c r="B324" s="25" t="s">
        <v>756</v>
      </c>
      <c r="C324" s="25" t="s">
        <v>757</v>
      </c>
      <c r="D324" s="25" t="s">
        <v>758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</v>
      </c>
      <c r="K324" s="31">
        <f>5602</f>
        <v>5602</v>
      </c>
      <c r="L324" s="32" t="s">
        <v>1110</v>
      </c>
      <c r="M324" s="31">
        <f>5750</f>
        <v>5750</v>
      </c>
      <c r="N324" s="32" t="s">
        <v>883</v>
      </c>
      <c r="O324" s="31">
        <f>5578</f>
        <v>5578</v>
      </c>
      <c r="P324" s="32" t="s">
        <v>680</v>
      </c>
      <c r="Q324" s="31">
        <f>5654</f>
        <v>5654</v>
      </c>
      <c r="R324" s="32" t="s">
        <v>883</v>
      </c>
      <c r="S324" s="33">
        <f>5635.05</f>
        <v>5635.05</v>
      </c>
      <c r="T324" s="30">
        <f>282646</f>
        <v>282646</v>
      </c>
      <c r="U324" s="30">
        <f>266977</f>
        <v>266977</v>
      </c>
      <c r="V324" s="30">
        <f>1588436452</f>
        <v>1588436452</v>
      </c>
      <c r="W324" s="30">
        <f>1500114634</f>
        <v>1500114634</v>
      </c>
      <c r="X324" s="34">
        <f>20</f>
        <v>20</v>
      </c>
    </row>
    <row r="325" spans="1:24">
      <c r="A325" s="25" t="s">
        <v>1128</v>
      </c>
      <c r="B325" s="25" t="s">
        <v>762</v>
      </c>
      <c r="C325" s="25" t="s">
        <v>763</v>
      </c>
      <c r="D325" s="25" t="s">
        <v>764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</v>
      </c>
      <c r="K325" s="31">
        <f>25115</f>
        <v>25115</v>
      </c>
      <c r="L325" s="32" t="s">
        <v>1110</v>
      </c>
      <c r="M325" s="31">
        <f>26640</f>
        <v>26640</v>
      </c>
      <c r="N325" s="32" t="s">
        <v>883</v>
      </c>
      <c r="O325" s="31">
        <f>24420</f>
        <v>24420</v>
      </c>
      <c r="P325" s="32" t="s">
        <v>684</v>
      </c>
      <c r="Q325" s="31">
        <f>25580</f>
        <v>25580</v>
      </c>
      <c r="R325" s="32" t="s">
        <v>883</v>
      </c>
      <c r="S325" s="33">
        <f>25201.25</f>
        <v>25201.25</v>
      </c>
      <c r="T325" s="30">
        <f>129850</f>
        <v>129850</v>
      </c>
      <c r="U325" s="30">
        <f>1</f>
        <v>1</v>
      </c>
      <c r="V325" s="30">
        <f>3242688210</f>
        <v>3242688210</v>
      </c>
      <c r="W325" s="30">
        <f>25580</f>
        <v>25580</v>
      </c>
      <c r="X325" s="34">
        <f>20</f>
        <v>20</v>
      </c>
    </row>
    <row r="326" spans="1:24">
      <c r="A326" s="25" t="s">
        <v>1128</v>
      </c>
      <c r="B326" s="25" t="s">
        <v>765</v>
      </c>
      <c r="C326" s="25" t="s">
        <v>766</v>
      </c>
      <c r="D326" s="25" t="s">
        <v>767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</v>
      </c>
      <c r="K326" s="31">
        <f>11495</f>
        <v>11495</v>
      </c>
      <c r="L326" s="32" t="s">
        <v>1110</v>
      </c>
      <c r="M326" s="31">
        <f>11720</f>
        <v>11720</v>
      </c>
      <c r="N326" s="32" t="s">
        <v>675</v>
      </c>
      <c r="O326" s="31">
        <f>11325</f>
        <v>11325</v>
      </c>
      <c r="P326" s="32" t="s">
        <v>678</v>
      </c>
      <c r="Q326" s="31">
        <f>11590</f>
        <v>11590</v>
      </c>
      <c r="R326" s="32" t="s">
        <v>883</v>
      </c>
      <c r="S326" s="33">
        <f>11540.75</f>
        <v>11540.75</v>
      </c>
      <c r="T326" s="30">
        <f>383450</f>
        <v>383450</v>
      </c>
      <c r="U326" s="30">
        <f>162500</f>
        <v>162500</v>
      </c>
      <c r="V326" s="30">
        <f>4436902343</f>
        <v>4436902343</v>
      </c>
      <c r="W326" s="30">
        <f>1888199228</f>
        <v>1888199228</v>
      </c>
      <c r="X326" s="34">
        <f>20</f>
        <v>20</v>
      </c>
    </row>
    <row r="327" spans="1:24">
      <c r="A327" s="25" t="s">
        <v>1128</v>
      </c>
      <c r="B327" s="25" t="s">
        <v>768</v>
      </c>
      <c r="C327" s="25" t="s">
        <v>769</v>
      </c>
      <c r="D327" s="25" t="s">
        <v>770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</v>
      </c>
      <c r="K327" s="31">
        <f>20415</f>
        <v>20415</v>
      </c>
      <c r="L327" s="32" t="s">
        <v>1110</v>
      </c>
      <c r="M327" s="31">
        <f>20655</f>
        <v>20655</v>
      </c>
      <c r="N327" s="32" t="s">
        <v>678</v>
      </c>
      <c r="O327" s="31">
        <f>20035</f>
        <v>20035</v>
      </c>
      <c r="P327" s="32" t="s">
        <v>1112</v>
      </c>
      <c r="Q327" s="31">
        <f>20150</f>
        <v>20150</v>
      </c>
      <c r="R327" s="32" t="s">
        <v>883</v>
      </c>
      <c r="S327" s="33">
        <f>20277.75</f>
        <v>20277.75</v>
      </c>
      <c r="T327" s="30">
        <f>137688</f>
        <v>137688</v>
      </c>
      <c r="U327" s="30">
        <f>88800</f>
        <v>88800</v>
      </c>
      <c r="V327" s="30">
        <f>2797681110</f>
        <v>2797681110</v>
      </c>
      <c r="W327" s="30">
        <f>1806248100</f>
        <v>1806248100</v>
      </c>
      <c r="X327" s="34">
        <f>20</f>
        <v>20</v>
      </c>
    </row>
    <row r="328" spans="1:24">
      <c r="A328" s="25" t="s">
        <v>1128</v>
      </c>
      <c r="B328" s="25" t="s">
        <v>771</v>
      </c>
      <c r="C328" s="25" t="s">
        <v>772</v>
      </c>
      <c r="D328" s="25" t="s">
        <v>773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10</v>
      </c>
      <c r="K328" s="31">
        <f>4198</f>
        <v>4198</v>
      </c>
      <c r="L328" s="32" t="s">
        <v>1124</v>
      </c>
      <c r="M328" s="31">
        <f>4215</f>
        <v>4215</v>
      </c>
      <c r="N328" s="32" t="s">
        <v>677</v>
      </c>
      <c r="O328" s="31">
        <f>4157</f>
        <v>4157</v>
      </c>
      <c r="P328" s="32" t="s">
        <v>875</v>
      </c>
      <c r="Q328" s="31">
        <f>4178</f>
        <v>4178</v>
      </c>
      <c r="R328" s="32" t="s">
        <v>874</v>
      </c>
      <c r="S328" s="33">
        <f>4188</f>
        <v>4188</v>
      </c>
      <c r="T328" s="30">
        <f>396420</f>
        <v>396420</v>
      </c>
      <c r="U328" s="30">
        <f>396000</f>
        <v>396000</v>
      </c>
      <c r="V328" s="30">
        <f>1655422240</f>
        <v>1655422240</v>
      </c>
      <c r="W328" s="30">
        <f>1653662950</f>
        <v>1653662950</v>
      </c>
      <c r="X328" s="34">
        <f>8</f>
        <v>8</v>
      </c>
    </row>
    <row r="329" spans="1:24">
      <c r="A329" s="25" t="s">
        <v>1128</v>
      </c>
      <c r="B329" s="25" t="s">
        <v>774</v>
      </c>
      <c r="C329" s="25" t="s">
        <v>775</v>
      </c>
      <c r="D329" s="25" t="s">
        <v>776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10</v>
      </c>
      <c r="K329" s="31">
        <f>5173</f>
        <v>5173</v>
      </c>
      <c r="L329" s="32" t="s">
        <v>675</v>
      </c>
      <c r="M329" s="31">
        <f>5333</f>
        <v>5333</v>
      </c>
      <c r="N329" s="32" t="s">
        <v>883</v>
      </c>
      <c r="O329" s="31">
        <f>5130</f>
        <v>5130</v>
      </c>
      <c r="P329" s="32" t="s">
        <v>875</v>
      </c>
      <c r="Q329" s="31">
        <f>5260</f>
        <v>5260</v>
      </c>
      <c r="R329" s="32" t="s">
        <v>883</v>
      </c>
      <c r="S329" s="33">
        <f>5212.42</f>
        <v>5212.42</v>
      </c>
      <c r="T329" s="30">
        <f>26070</f>
        <v>26070</v>
      </c>
      <c r="U329" s="30">
        <f>3800</f>
        <v>3800</v>
      </c>
      <c r="V329" s="30">
        <f>136916900</f>
        <v>136916900</v>
      </c>
      <c r="W329" s="30">
        <f>19983820</f>
        <v>19983820</v>
      </c>
      <c r="X329" s="34">
        <f>19</f>
        <v>19</v>
      </c>
    </row>
    <row r="330" spans="1:24">
      <c r="A330" s="25" t="s">
        <v>1128</v>
      </c>
      <c r="B330" s="25" t="s">
        <v>786</v>
      </c>
      <c r="C330" s="25" t="s">
        <v>787</v>
      </c>
      <c r="D330" s="25" t="s">
        <v>788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10</v>
      </c>
      <c r="K330" s="31">
        <f>2397.5</f>
        <v>2397.5</v>
      </c>
      <c r="L330" s="32" t="s">
        <v>1110</v>
      </c>
      <c r="M330" s="31">
        <f>2450</f>
        <v>2450</v>
      </c>
      <c r="N330" s="32" t="s">
        <v>674</v>
      </c>
      <c r="O330" s="31">
        <f>2365.5</f>
        <v>2365.5</v>
      </c>
      <c r="P330" s="32" t="s">
        <v>678</v>
      </c>
      <c r="Q330" s="31">
        <f>2414</f>
        <v>2414</v>
      </c>
      <c r="R330" s="32" t="s">
        <v>883</v>
      </c>
      <c r="S330" s="33">
        <f>2412.45</f>
        <v>2412.4499999999998</v>
      </c>
      <c r="T330" s="30">
        <f>1166350</f>
        <v>1166350</v>
      </c>
      <c r="U330" s="30">
        <f>205000</f>
        <v>205000</v>
      </c>
      <c r="V330" s="30">
        <f>2812929350</f>
        <v>2812929350</v>
      </c>
      <c r="W330" s="30">
        <f>497637500</f>
        <v>497637500</v>
      </c>
      <c r="X330" s="34">
        <f>20</f>
        <v>20</v>
      </c>
    </row>
    <row r="331" spans="1:24">
      <c r="A331" s="25" t="s">
        <v>1128</v>
      </c>
      <c r="B331" s="25" t="s">
        <v>789</v>
      </c>
      <c r="C331" s="25" t="s">
        <v>790</v>
      </c>
      <c r="D331" s="25" t="s">
        <v>791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10</v>
      </c>
      <c r="K331" s="31">
        <f>2095.5</f>
        <v>2095.5</v>
      </c>
      <c r="L331" s="32" t="s">
        <v>1110</v>
      </c>
      <c r="M331" s="31">
        <f>2149.5</f>
        <v>2149.5</v>
      </c>
      <c r="N331" s="32" t="s">
        <v>883</v>
      </c>
      <c r="O331" s="31">
        <f>2070</f>
        <v>2070</v>
      </c>
      <c r="P331" s="32" t="s">
        <v>1115</v>
      </c>
      <c r="Q331" s="31">
        <f>2133.5</f>
        <v>2133.5</v>
      </c>
      <c r="R331" s="32" t="s">
        <v>883</v>
      </c>
      <c r="S331" s="33">
        <f>2098.78</f>
        <v>2098.7800000000002</v>
      </c>
      <c r="T331" s="30">
        <f>868340</f>
        <v>868340</v>
      </c>
      <c r="U331" s="30">
        <f>10</f>
        <v>10</v>
      </c>
      <c r="V331" s="30">
        <f>1829787240</f>
        <v>1829787240</v>
      </c>
      <c r="W331" s="30">
        <f>21335</f>
        <v>21335</v>
      </c>
      <c r="X331" s="34">
        <f>20</f>
        <v>20</v>
      </c>
    </row>
    <row r="332" spans="1:24">
      <c r="A332" s="25" t="s">
        <v>1128</v>
      </c>
      <c r="B332" s="25" t="s">
        <v>792</v>
      </c>
      <c r="C332" s="25" t="s">
        <v>793</v>
      </c>
      <c r="D332" s="25" t="s">
        <v>794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</v>
      </c>
      <c r="K332" s="31">
        <f>1912</f>
        <v>1912</v>
      </c>
      <c r="L332" s="32" t="s">
        <v>1110</v>
      </c>
      <c r="M332" s="31">
        <f>1960</f>
        <v>1960</v>
      </c>
      <c r="N332" s="32" t="s">
        <v>1111</v>
      </c>
      <c r="O332" s="31">
        <f>1854</f>
        <v>1854</v>
      </c>
      <c r="P332" s="32" t="s">
        <v>677</v>
      </c>
      <c r="Q332" s="31">
        <f>1931</f>
        <v>1931</v>
      </c>
      <c r="R332" s="32" t="s">
        <v>883</v>
      </c>
      <c r="S332" s="33">
        <f>1913.9</f>
        <v>1913.9</v>
      </c>
      <c r="T332" s="30">
        <f>5253</f>
        <v>5253</v>
      </c>
      <c r="U332" s="30" t="str">
        <f>"－"</f>
        <v>－</v>
      </c>
      <c r="V332" s="30">
        <f>10067975</f>
        <v>10067975</v>
      </c>
      <c r="W332" s="30" t="str">
        <f>"－"</f>
        <v>－</v>
      </c>
      <c r="X332" s="34">
        <f>20</f>
        <v>20</v>
      </c>
    </row>
    <row r="333" spans="1:24">
      <c r="A333" s="25" t="s">
        <v>1128</v>
      </c>
      <c r="B333" s="25" t="s">
        <v>795</v>
      </c>
      <c r="C333" s="25" t="s">
        <v>796</v>
      </c>
      <c r="D333" s="25" t="s">
        <v>797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</v>
      </c>
      <c r="K333" s="31">
        <f>2054</f>
        <v>2054</v>
      </c>
      <c r="L333" s="32" t="s">
        <v>1110</v>
      </c>
      <c r="M333" s="31">
        <f>2127</f>
        <v>2127</v>
      </c>
      <c r="N333" s="32" t="s">
        <v>1111</v>
      </c>
      <c r="O333" s="31">
        <f>2017</f>
        <v>2017</v>
      </c>
      <c r="P333" s="32" t="s">
        <v>1123</v>
      </c>
      <c r="Q333" s="31">
        <f>2110</f>
        <v>2110</v>
      </c>
      <c r="R333" s="32" t="s">
        <v>883</v>
      </c>
      <c r="S333" s="33">
        <f>2086.75</f>
        <v>2086.75</v>
      </c>
      <c r="T333" s="30">
        <f>7713</f>
        <v>7713</v>
      </c>
      <c r="U333" s="30" t="str">
        <f>"－"</f>
        <v>－</v>
      </c>
      <c r="V333" s="30">
        <f>16064401</f>
        <v>16064401</v>
      </c>
      <c r="W333" s="30" t="str">
        <f>"－"</f>
        <v>－</v>
      </c>
      <c r="X333" s="34">
        <f>16</f>
        <v>16</v>
      </c>
    </row>
    <row r="334" spans="1:24">
      <c r="A334" s="25" t="s">
        <v>1128</v>
      </c>
      <c r="B334" s="25" t="s">
        <v>798</v>
      </c>
      <c r="C334" s="25" t="s">
        <v>799</v>
      </c>
      <c r="D334" s="25" t="s">
        <v>800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</v>
      </c>
      <c r="K334" s="31">
        <f>4325</f>
        <v>4325</v>
      </c>
      <c r="L334" s="32" t="s">
        <v>1110</v>
      </c>
      <c r="M334" s="31">
        <f>4415</f>
        <v>4415</v>
      </c>
      <c r="N334" s="32" t="s">
        <v>874</v>
      </c>
      <c r="O334" s="31">
        <f>4190</f>
        <v>4190</v>
      </c>
      <c r="P334" s="32" t="s">
        <v>677</v>
      </c>
      <c r="Q334" s="31">
        <f>4375</f>
        <v>4375</v>
      </c>
      <c r="R334" s="32" t="s">
        <v>883</v>
      </c>
      <c r="S334" s="33">
        <f>4314.75</f>
        <v>4314.75</v>
      </c>
      <c r="T334" s="30">
        <f>44720</f>
        <v>44720</v>
      </c>
      <c r="U334" s="30">
        <f>2</f>
        <v>2</v>
      </c>
      <c r="V334" s="30">
        <f>193017075</f>
        <v>193017075</v>
      </c>
      <c r="W334" s="30">
        <f>8645</f>
        <v>8645</v>
      </c>
      <c r="X334" s="34">
        <f>20</f>
        <v>20</v>
      </c>
    </row>
    <row r="335" spans="1:24">
      <c r="A335" s="25" t="s">
        <v>1128</v>
      </c>
      <c r="B335" s="25" t="s">
        <v>801</v>
      </c>
      <c r="C335" s="25" t="s">
        <v>802</v>
      </c>
      <c r="D335" s="25" t="s">
        <v>803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10</v>
      </c>
      <c r="K335" s="31">
        <f>2749</f>
        <v>2749</v>
      </c>
      <c r="L335" s="32" t="s">
        <v>1110</v>
      </c>
      <c r="M335" s="31">
        <f>2826</f>
        <v>2826</v>
      </c>
      <c r="N335" s="32" t="s">
        <v>1111</v>
      </c>
      <c r="O335" s="31">
        <f>2652</f>
        <v>2652</v>
      </c>
      <c r="P335" s="32" t="s">
        <v>677</v>
      </c>
      <c r="Q335" s="31">
        <f>2820</f>
        <v>2820</v>
      </c>
      <c r="R335" s="32" t="s">
        <v>1111</v>
      </c>
      <c r="S335" s="33">
        <f>2754.55</f>
        <v>2754.55</v>
      </c>
      <c r="T335" s="30">
        <f>9360</f>
        <v>9360</v>
      </c>
      <c r="U335" s="30" t="str">
        <f>"－"</f>
        <v>－</v>
      </c>
      <c r="V335" s="30">
        <f>26124210</f>
        <v>26124210</v>
      </c>
      <c r="W335" s="30" t="str">
        <f>"－"</f>
        <v>－</v>
      </c>
      <c r="X335" s="34">
        <f>10</f>
        <v>10</v>
      </c>
    </row>
    <row r="336" spans="1:24">
      <c r="A336" s="25" t="s">
        <v>1128</v>
      </c>
      <c r="B336" s="25" t="s">
        <v>812</v>
      </c>
      <c r="C336" s="25" t="s">
        <v>813</v>
      </c>
      <c r="D336" s="25" t="s">
        <v>814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10</v>
      </c>
      <c r="K336" s="31">
        <f>260.3</f>
        <v>260.3</v>
      </c>
      <c r="L336" s="32" t="s">
        <v>1110</v>
      </c>
      <c r="M336" s="31">
        <f>279</f>
        <v>279</v>
      </c>
      <c r="N336" s="32" t="s">
        <v>679</v>
      </c>
      <c r="O336" s="31">
        <f>254.8</f>
        <v>254.8</v>
      </c>
      <c r="P336" s="32" t="s">
        <v>677</v>
      </c>
      <c r="Q336" s="31">
        <f>269</f>
        <v>269</v>
      </c>
      <c r="R336" s="32" t="s">
        <v>883</v>
      </c>
      <c r="S336" s="33">
        <f>265.32</f>
        <v>265.32</v>
      </c>
      <c r="T336" s="30">
        <f>17760</f>
        <v>17760</v>
      </c>
      <c r="U336" s="30" t="str">
        <f>"－"</f>
        <v>－</v>
      </c>
      <c r="V336" s="30">
        <f>4726928</f>
        <v>4726928</v>
      </c>
      <c r="W336" s="30" t="str">
        <f>"－"</f>
        <v>－</v>
      </c>
      <c r="X336" s="34">
        <f>20</f>
        <v>20</v>
      </c>
    </row>
    <row r="337" spans="1:24">
      <c r="A337" s="25" t="s">
        <v>1128</v>
      </c>
      <c r="B337" s="25" t="s">
        <v>804</v>
      </c>
      <c r="C337" s="25" t="s">
        <v>805</v>
      </c>
      <c r="D337" s="25" t="s">
        <v>806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10</v>
      </c>
      <c r="K337" s="31">
        <f>169.9</f>
        <v>169.9</v>
      </c>
      <c r="L337" s="32" t="s">
        <v>1110</v>
      </c>
      <c r="M337" s="31">
        <f>184.8</f>
        <v>184.8</v>
      </c>
      <c r="N337" s="32" t="s">
        <v>679</v>
      </c>
      <c r="O337" s="31">
        <f>163.9</f>
        <v>163.9</v>
      </c>
      <c r="P337" s="32" t="s">
        <v>1123</v>
      </c>
      <c r="Q337" s="31">
        <f>178.4</f>
        <v>178.4</v>
      </c>
      <c r="R337" s="32" t="s">
        <v>883</v>
      </c>
      <c r="S337" s="33">
        <f>171.83</f>
        <v>171.83</v>
      </c>
      <c r="T337" s="30">
        <f>146700</f>
        <v>146700</v>
      </c>
      <c r="U337" s="30">
        <f>79170</f>
        <v>79170</v>
      </c>
      <c r="V337" s="30">
        <f>25955898</f>
        <v>25955898</v>
      </c>
      <c r="W337" s="30">
        <f>14108073</f>
        <v>14108073</v>
      </c>
      <c r="X337" s="34">
        <f>20</f>
        <v>20</v>
      </c>
    </row>
    <row r="338" spans="1:24">
      <c r="A338" s="25" t="s">
        <v>1128</v>
      </c>
      <c r="B338" s="25" t="s">
        <v>807</v>
      </c>
      <c r="C338" s="25" t="s">
        <v>808</v>
      </c>
      <c r="D338" s="25" t="s">
        <v>809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679.3</f>
        <v>679.3</v>
      </c>
      <c r="L338" s="32" t="s">
        <v>675</v>
      </c>
      <c r="M338" s="31">
        <f>690.2</f>
        <v>690.2</v>
      </c>
      <c r="N338" s="32" t="s">
        <v>1113</v>
      </c>
      <c r="O338" s="31">
        <f>679.3</f>
        <v>679.3</v>
      </c>
      <c r="P338" s="32" t="s">
        <v>675</v>
      </c>
      <c r="Q338" s="31">
        <f>684.2</f>
        <v>684.2</v>
      </c>
      <c r="R338" s="32" t="s">
        <v>883</v>
      </c>
      <c r="S338" s="33">
        <f>683.29</f>
        <v>683.29</v>
      </c>
      <c r="T338" s="30">
        <f>137040</f>
        <v>137040</v>
      </c>
      <c r="U338" s="30">
        <f>133240</f>
        <v>133240</v>
      </c>
      <c r="V338" s="30">
        <f>93300083</f>
        <v>93300083</v>
      </c>
      <c r="W338" s="30">
        <f>90709792</f>
        <v>90709792</v>
      </c>
      <c r="X338" s="34">
        <f>11</f>
        <v>11</v>
      </c>
    </row>
    <row r="339" spans="1:24">
      <c r="A339" s="25" t="s">
        <v>1128</v>
      </c>
      <c r="B339" s="25" t="s">
        <v>815</v>
      </c>
      <c r="C339" s="25" t="s">
        <v>816</v>
      </c>
      <c r="D339" s="25" t="s">
        <v>817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</v>
      </c>
      <c r="K339" s="31">
        <f>1458</f>
        <v>1458</v>
      </c>
      <c r="L339" s="32" t="s">
        <v>1110</v>
      </c>
      <c r="M339" s="31">
        <f>1567</f>
        <v>1567</v>
      </c>
      <c r="N339" s="32" t="s">
        <v>675</v>
      </c>
      <c r="O339" s="31">
        <f>1401</f>
        <v>1401</v>
      </c>
      <c r="P339" s="32" t="s">
        <v>684</v>
      </c>
      <c r="Q339" s="31">
        <f>1507</f>
        <v>1507</v>
      </c>
      <c r="R339" s="32" t="s">
        <v>883</v>
      </c>
      <c r="S339" s="33">
        <f>1486.45</f>
        <v>1486.45</v>
      </c>
      <c r="T339" s="30">
        <f>605011</f>
        <v>605011</v>
      </c>
      <c r="U339" s="30">
        <f>738</f>
        <v>738</v>
      </c>
      <c r="V339" s="30">
        <f>901542141</f>
        <v>901542141</v>
      </c>
      <c r="W339" s="30">
        <f>1122175</f>
        <v>1122175</v>
      </c>
      <c r="X339" s="34">
        <f>20</f>
        <v>20</v>
      </c>
    </row>
    <row r="340" spans="1:24">
      <c r="A340" s="25" t="s">
        <v>1128</v>
      </c>
      <c r="B340" s="25" t="s">
        <v>818</v>
      </c>
      <c r="C340" s="25" t="s">
        <v>819</v>
      </c>
      <c r="D340" s="25" t="s">
        <v>820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886</f>
        <v>886</v>
      </c>
      <c r="L340" s="32" t="s">
        <v>1110</v>
      </c>
      <c r="M340" s="31">
        <f>942</f>
        <v>942</v>
      </c>
      <c r="N340" s="32" t="s">
        <v>679</v>
      </c>
      <c r="O340" s="31">
        <f>855</f>
        <v>855</v>
      </c>
      <c r="P340" s="32" t="s">
        <v>1123</v>
      </c>
      <c r="Q340" s="31">
        <f>925</f>
        <v>925</v>
      </c>
      <c r="R340" s="32" t="s">
        <v>883</v>
      </c>
      <c r="S340" s="33">
        <f>896.8</f>
        <v>896.8</v>
      </c>
      <c r="T340" s="30">
        <f>107482</f>
        <v>107482</v>
      </c>
      <c r="U340" s="30" t="str">
        <f>"－"</f>
        <v>－</v>
      </c>
      <c r="V340" s="30">
        <f>94058159</f>
        <v>94058159</v>
      </c>
      <c r="W340" s="30" t="str">
        <f>"－"</f>
        <v>－</v>
      </c>
      <c r="X340" s="34">
        <f>20</f>
        <v>20</v>
      </c>
    </row>
    <row r="341" spans="1:24">
      <c r="A341" s="25" t="s">
        <v>1128</v>
      </c>
      <c r="B341" s="25" t="s">
        <v>821</v>
      </c>
      <c r="C341" s="25" t="s">
        <v>822</v>
      </c>
      <c r="D341" s="25" t="s">
        <v>823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710.1</f>
        <v>710.1</v>
      </c>
      <c r="L341" s="32" t="s">
        <v>1110</v>
      </c>
      <c r="M341" s="31">
        <f>717.9</f>
        <v>717.9</v>
      </c>
      <c r="N341" s="32" t="s">
        <v>684</v>
      </c>
      <c r="O341" s="31">
        <f>705.5</f>
        <v>705.5</v>
      </c>
      <c r="P341" s="32" t="s">
        <v>680</v>
      </c>
      <c r="Q341" s="31">
        <f>710.5</f>
        <v>710.5</v>
      </c>
      <c r="R341" s="32" t="s">
        <v>883</v>
      </c>
      <c r="S341" s="33">
        <f>711.18</f>
        <v>711.18</v>
      </c>
      <c r="T341" s="30">
        <f>626130</f>
        <v>626130</v>
      </c>
      <c r="U341" s="30">
        <f>130</f>
        <v>130</v>
      </c>
      <c r="V341" s="30">
        <f>444746629</f>
        <v>444746629</v>
      </c>
      <c r="W341" s="30">
        <f>92326</f>
        <v>92326</v>
      </c>
      <c r="X341" s="34">
        <f>20</f>
        <v>20</v>
      </c>
    </row>
    <row r="342" spans="1:24">
      <c r="A342" s="25" t="s">
        <v>1128</v>
      </c>
      <c r="B342" s="25" t="s">
        <v>824</v>
      </c>
      <c r="C342" s="25" t="s">
        <v>825</v>
      </c>
      <c r="D342" s="25" t="s">
        <v>826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691</f>
        <v>691</v>
      </c>
      <c r="L342" s="32" t="s">
        <v>1110</v>
      </c>
      <c r="M342" s="31">
        <f>704.2</f>
        <v>704.2</v>
      </c>
      <c r="N342" s="32" t="s">
        <v>875</v>
      </c>
      <c r="O342" s="31">
        <f>690.1</f>
        <v>690.1</v>
      </c>
      <c r="P342" s="32" t="s">
        <v>680</v>
      </c>
      <c r="Q342" s="31">
        <f>696.9</f>
        <v>696.9</v>
      </c>
      <c r="R342" s="32" t="s">
        <v>883</v>
      </c>
      <c r="S342" s="33">
        <f>695.11</f>
        <v>695.11</v>
      </c>
      <c r="T342" s="30">
        <f>2808380</f>
        <v>2808380</v>
      </c>
      <c r="U342" s="30">
        <f>2566000</f>
        <v>2566000</v>
      </c>
      <c r="V342" s="30">
        <f>1945628940</f>
        <v>1945628940</v>
      </c>
      <c r="W342" s="30">
        <f>1777783000</f>
        <v>1777783000</v>
      </c>
      <c r="X342" s="34">
        <f>20</f>
        <v>20</v>
      </c>
    </row>
    <row r="343" spans="1:24">
      <c r="A343" s="25" t="s">
        <v>1128</v>
      </c>
      <c r="B343" s="25" t="s">
        <v>827</v>
      </c>
      <c r="C343" s="25" t="s">
        <v>828</v>
      </c>
      <c r="D343" s="25" t="s">
        <v>829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</v>
      </c>
      <c r="K343" s="31">
        <f>1267</f>
        <v>1267</v>
      </c>
      <c r="L343" s="32" t="s">
        <v>1110</v>
      </c>
      <c r="M343" s="31">
        <f>1277</f>
        <v>1277</v>
      </c>
      <c r="N343" s="32" t="s">
        <v>679</v>
      </c>
      <c r="O343" s="31">
        <f>1198</f>
        <v>1198</v>
      </c>
      <c r="P343" s="32" t="s">
        <v>677</v>
      </c>
      <c r="Q343" s="31">
        <f>1250</f>
        <v>1250</v>
      </c>
      <c r="R343" s="32" t="s">
        <v>883</v>
      </c>
      <c r="S343" s="33">
        <f>1231.3</f>
        <v>1231.3</v>
      </c>
      <c r="T343" s="30">
        <f>34096</f>
        <v>34096</v>
      </c>
      <c r="U343" s="30" t="str">
        <f>"－"</f>
        <v>－</v>
      </c>
      <c r="V343" s="30">
        <f>41806284</f>
        <v>41806284</v>
      </c>
      <c r="W343" s="30" t="str">
        <f>"－"</f>
        <v>－</v>
      </c>
      <c r="X343" s="34">
        <f>20</f>
        <v>20</v>
      </c>
    </row>
    <row r="344" spans="1:24">
      <c r="A344" s="25" t="s">
        <v>1128</v>
      </c>
      <c r="B344" s="25" t="s">
        <v>836</v>
      </c>
      <c r="C344" s="25" t="s">
        <v>837</v>
      </c>
      <c r="D344" s="25" t="s">
        <v>838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2656.5</f>
        <v>2656.5</v>
      </c>
      <c r="L344" s="32" t="s">
        <v>1110</v>
      </c>
      <c r="M344" s="31">
        <f>2733</f>
        <v>2733</v>
      </c>
      <c r="N344" s="32" t="s">
        <v>883</v>
      </c>
      <c r="O344" s="31">
        <f>2610.5</f>
        <v>2610.5</v>
      </c>
      <c r="P344" s="32" t="s">
        <v>1110</v>
      </c>
      <c r="Q344" s="31">
        <f>2713</f>
        <v>2713</v>
      </c>
      <c r="R344" s="32" t="s">
        <v>883</v>
      </c>
      <c r="S344" s="33">
        <f>2660.39</f>
        <v>2660.39</v>
      </c>
      <c r="T344" s="30">
        <f>10730</f>
        <v>10730</v>
      </c>
      <c r="U344" s="30" t="str">
        <f>"－"</f>
        <v>－</v>
      </c>
      <c r="V344" s="30">
        <f>28705885</f>
        <v>28705885</v>
      </c>
      <c r="W344" s="30" t="str">
        <f>"－"</f>
        <v>－</v>
      </c>
      <c r="X344" s="34">
        <f>19</f>
        <v>19</v>
      </c>
    </row>
    <row r="345" spans="1:24">
      <c r="A345" s="25" t="s">
        <v>1128</v>
      </c>
      <c r="B345" s="25" t="s">
        <v>839</v>
      </c>
      <c r="C345" s="25" t="s">
        <v>840</v>
      </c>
      <c r="D345" s="25" t="s">
        <v>841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10</v>
      </c>
      <c r="K345" s="31">
        <f>2522</f>
        <v>2522</v>
      </c>
      <c r="L345" s="32" t="s">
        <v>1110</v>
      </c>
      <c r="M345" s="31">
        <f>2643.5</f>
        <v>2643.5</v>
      </c>
      <c r="N345" s="32" t="s">
        <v>883</v>
      </c>
      <c r="O345" s="31">
        <f>2522</f>
        <v>2522</v>
      </c>
      <c r="P345" s="32" t="s">
        <v>1110</v>
      </c>
      <c r="Q345" s="31">
        <f>2639.5</f>
        <v>2639.5</v>
      </c>
      <c r="R345" s="32" t="s">
        <v>883</v>
      </c>
      <c r="S345" s="33">
        <f>2570.76</f>
        <v>2570.7600000000002</v>
      </c>
      <c r="T345" s="30">
        <f>34950</f>
        <v>34950</v>
      </c>
      <c r="U345" s="30" t="str">
        <f>"－"</f>
        <v>－</v>
      </c>
      <c r="V345" s="30">
        <f>90567500</f>
        <v>90567500</v>
      </c>
      <c r="W345" s="30" t="str">
        <f>"－"</f>
        <v>－</v>
      </c>
      <c r="X345" s="34">
        <f>19</f>
        <v>19</v>
      </c>
    </row>
    <row r="346" spans="1:24">
      <c r="A346" s="25" t="s">
        <v>1128</v>
      </c>
      <c r="B346" s="25" t="s">
        <v>830</v>
      </c>
      <c r="C346" s="25" t="s">
        <v>831</v>
      </c>
      <c r="D346" s="25" t="s">
        <v>832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10</v>
      </c>
      <c r="K346" s="31">
        <f>5363</f>
        <v>5363</v>
      </c>
      <c r="L346" s="32" t="s">
        <v>675</v>
      </c>
      <c r="M346" s="31">
        <f>5537</f>
        <v>5537</v>
      </c>
      <c r="N346" s="32" t="s">
        <v>883</v>
      </c>
      <c r="O346" s="31">
        <f>5351</f>
        <v>5351</v>
      </c>
      <c r="P346" s="32" t="s">
        <v>680</v>
      </c>
      <c r="Q346" s="31">
        <f>5408</f>
        <v>5408</v>
      </c>
      <c r="R346" s="32" t="s">
        <v>883</v>
      </c>
      <c r="S346" s="33">
        <f>5377.83</f>
        <v>5377.83</v>
      </c>
      <c r="T346" s="30">
        <f>20390</f>
        <v>20390</v>
      </c>
      <c r="U346" s="30">
        <f>20000</f>
        <v>20000</v>
      </c>
      <c r="V346" s="30">
        <f>109562660</f>
        <v>109562660</v>
      </c>
      <c r="W346" s="30">
        <f>107460000</f>
        <v>107460000</v>
      </c>
      <c r="X346" s="34">
        <f>6</f>
        <v>6</v>
      </c>
    </row>
    <row r="347" spans="1:24">
      <c r="A347" s="25" t="s">
        <v>1128</v>
      </c>
      <c r="B347" s="25" t="s">
        <v>833</v>
      </c>
      <c r="C347" s="25" t="s">
        <v>834</v>
      </c>
      <c r="D347" s="25" t="s">
        <v>835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10</v>
      </c>
      <c r="K347" s="31">
        <f>4312</f>
        <v>4312</v>
      </c>
      <c r="L347" s="32" t="s">
        <v>1110</v>
      </c>
      <c r="M347" s="31">
        <f>4378</f>
        <v>4378</v>
      </c>
      <c r="N347" s="32" t="s">
        <v>684</v>
      </c>
      <c r="O347" s="31">
        <f>4312</f>
        <v>4312</v>
      </c>
      <c r="P347" s="32" t="s">
        <v>1110</v>
      </c>
      <c r="Q347" s="31">
        <f>4333</f>
        <v>4333</v>
      </c>
      <c r="R347" s="32" t="s">
        <v>874</v>
      </c>
      <c r="S347" s="33">
        <f>4345.33</f>
        <v>4345.33</v>
      </c>
      <c r="T347" s="30">
        <f>37730</f>
        <v>37730</v>
      </c>
      <c r="U347" s="30">
        <f>12000</f>
        <v>12000</v>
      </c>
      <c r="V347" s="30">
        <f>163130350</f>
        <v>163130350</v>
      </c>
      <c r="W347" s="30">
        <f>52065600</f>
        <v>52065600</v>
      </c>
      <c r="X347" s="34">
        <f>6</f>
        <v>6</v>
      </c>
    </row>
    <row r="348" spans="1:24">
      <c r="A348" s="25" t="s">
        <v>1128</v>
      </c>
      <c r="B348" s="25" t="s">
        <v>842</v>
      </c>
      <c r="C348" s="25" t="s">
        <v>843</v>
      </c>
      <c r="D348" s="25" t="s">
        <v>844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10</v>
      </c>
      <c r="K348" s="31">
        <f>1921</f>
        <v>1921</v>
      </c>
      <c r="L348" s="32" t="s">
        <v>1110</v>
      </c>
      <c r="M348" s="31">
        <f>2321</f>
        <v>2321</v>
      </c>
      <c r="N348" s="32" t="s">
        <v>883</v>
      </c>
      <c r="O348" s="31">
        <f>1894</f>
        <v>1894</v>
      </c>
      <c r="P348" s="32" t="s">
        <v>678</v>
      </c>
      <c r="Q348" s="31">
        <f>1920.5</f>
        <v>1920.5</v>
      </c>
      <c r="R348" s="32" t="s">
        <v>883</v>
      </c>
      <c r="S348" s="33">
        <f>1918.39</f>
        <v>1918.39</v>
      </c>
      <c r="T348" s="30">
        <f>940</f>
        <v>940</v>
      </c>
      <c r="U348" s="30" t="str">
        <f>"－"</f>
        <v>－</v>
      </c>
      <c r="V348" s="30">
        <f>1804860</f>
        <v>1804860</v>
      </c>
      <c r="W348" s="30" t="str">
        <f>"－"</f>
        <v>－</v>
      </c>
      <c r="X348" s="34">
        <f>9</f>
        <v>9</v>
      </c>
    </row>
    <row r="349" spans="1:24">
      <c r="A349" s="25" t="s">
        <v>1128</v>
      </c>
      <c r="B349" s="25" t="s">
        <v>845</v>
      </c>
      <c r="C349" s="25" t="s">
        <v>846</v>
      </c>
      <c r="D349" s="25" t="s">
        <v>847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1324</f>
        <v>1324</v>
      </c>
      <c r="L349" s="32" t="s">
        <v>1110</v>
      </c>
      <c r="M349" s="31">
        <f>1391</f>
        <v>1391</v>
      </c>
      <c r="N349" s="32" t="s">
        <v>883</v>
      </c>
      <c r="O349" s="31">
        <f>1303</f>
        <v>1303</v>
      </c>
      <c r="P349" s="32" t="s">
        <v>680</v>
      </c>
      <c r="Q349" s="31">
        <f>1391</f>
        <v>1391</v>
      </c>
      <c r="R349" s="32" t="s">
        <v>883</v>
      </c>
      <c r="S349" s="33">
        <f>1339.7</f>
        <v>1339.7</v>
      </c>
      <c r="T349" s="30">
        <f>5524</f>
        <v>5524</v>
      </c>
      <c r="U349" s="30" t="str">
        <f>"－"</f>
        <v>－</v>
      </c>
      <c r="V349" s="30">
        <f>7398346</f>
        <v>7398346</v>
      </c>
      <c r="W349" s="30" t="str">
        <f>"－"</f>
        <v>－</v>
      </c>
      <c r="X349" s="34">
        <f>20</f>
        <v>20</v>
      </c>
    </row>
    <row r="350" spans="1:24">
      <c r="A350" s="25" t="s">
        <v>1128</v>
      </c>
      <c r="B350" s="25" t="s">
        <v>848</v>
      </c>
      <c r="C350" s="25" t="s">
        <v>849</v>
      </c>
      <c r="D350" s="25" t="s">
        <v>850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</v>
      </c>
      <c r="K350" s="31">
        <f>1187</f>
        <v>1187</v>
      </c>
      <c r="L350" s="32" t="s">
        <v>1110</v>
      </c>
      <c r="M350" s="31">
        <f>1250</f>
        <v>1250</v>
      </c>
      <c r="N350" s="32" t="s">
        <v>674</v>
      </c>
      <c r="O350" s="31">
        <f>1125</f>
        <v>1125</v>
      </c>
      <c r="P350" s="32" t="s">
        <v>684</v>
      </c>
      <c r="Q350" s="31">
        <f>1199</f>
        <v>1199</v>
      </c>
      <c r="R350" s="32" t="s">
        <v>883</v>
      </c>
      <c r="S350" s="33">
        <f>1178.2</f>
        <v>1178.2</v>
      </c>
      <c r="T350" s="30">
        <f>1944692</f>
        <v>1944692</v>
      </c>
      <c r="U350" s="30">
        <f>272</f>
        <v>272</v>
      </c>
      <c r="V350" s="30">
        <f>2279950920</f>
        <v>2279950920</v>
      </c>
      <c r="W350" s="30">
        <f>305422</f>
        <v>305422</v>
      </c>
      <c r="X350" s="34">
        <f>20</f>
        <v>20</v>
      </c>
    </row>
    <row r="351" spans="1:24">
      <c r="A351" s="25" t="s">
        <v>1128</v>
      </c>
      <c r="B351" s="25" t="s">
        <v>851</v>
      </c>
      <c r="C351" s="25" t="s">
        <v>852</v>
      </c>
      <c r="D351" s="25" t="s">
        <v>853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</v>
      </c>
      <c r="K351" s="31">
        <f>1017</f>
        <v>1017</v>
      </c>
      <c r="L351" s="32" t="s">
        <v>1110</v>
      </c>
      <c r="M351" s="31">
        <f>1047</f>
        <v>1047</v>
      </c>
      <c r="N351" s="32" t="s">
        <v>1124</v>
      </c>
      <c r="O351" s="31">
        <f>992</f>
        <v>992</v>
      </c>
      <c r="P351" s="32" t="s">
        <v>677</v>
      </c>
      <c r="Q351" s="31">
        <f>1025</f>
        <v>1025</v>
      </c>
      <c r="R351" s="32" t="s">
        <v>883</v>
      </c>
      <c r="S351" s="33">
        <f>1015.05</f>
        <v>1015.05</v>
      </c>
      <c r="T351" s="30">
        <f>774243</f>
        <v>774243</v>
      </c>
      <c r="U351" s="30" t="str">
        <f>"－"</f>
        <v>－</v>
      </c>
      <c r="V351" s="30">
        <f>784757558</f>
        <v>784757558</v>
      </c>
      <c r="W351" s="30" t="str">
        <f>"－"</f>
        <v>－</v>
      </c>
      <c r="X351" s="34">
        <f>20</f>
        <v>20</v>
      </c>
    </row>
    <row r="352" spans="1:24">
      <c r="A352" s="25" t="s">
        <v>1128</v>
      </c>
      <c r="B352" s="25" t="s">
        <v>858</v>
      </c>
      <c r="C352" s="25" t="s">
        <v>859</v>
      </c>
      <c r="D352" s="25" t="s">
        <v>860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1142</f>
        <v>1142</v>
      </c>
      <c r="L352" s="32" t="s">
        <v>1110</v>
      </c>
      <c r="M352" s="31">
        <f>1196</f>
        <v>1196</v>
      </c>
      <c r="N352" s="32" t="s">
        <v>883</v>
      </c>
      <c r="O352" s="31">
        <f>1117</f>
        <v>1117</v>
      </c>
      <c r="P352" s="32" t="s">
        <v>680</v>
      </c>
      <c r="Q352" s="31">
        <f>1189</f>
        <v>1189</v>
      </c>
      <c r="R352" s="32" t="s">
        <v>883</v>
      </c>
      <c r="S352" s="33">
        <f>1152.6</f>
        <v>1152.5999999999999</v>
      </c>
      <c r="T352" s="30">
        <f>19059</f>
        <v>19059</v>
      </c>
      <c r="U352" s="30" t="str">
        <f>"－"</f>
        <v>－</v>
      </c>
      <c r="V352" s="30">
        <f>22015757</f>
        <v>22015757</v>
      </c>
      <c r="W352" s="30" t="str">
        <f>"－"</f>
        <v>－</v>
      </c>
      <c r="X352" s="34">
        <f>20</f>
        <v>20</v>
      </c>
    </row>
    <row r="353" spans="1:24">
      <c r="A353" s="25" t="s">
        <v>1128</v>
      </c>
      <c r="B353" s="25" t="s">
        <v>861</v>
      </c>
      <c r="C353" s="25" t="s">
        <v>862</v>
      </c>
      <c r="D353" s="25" t="s">
        <v>863</v>
      </c>
      <c r="E353" s="26" t="s">
        <v>43</v>
      </c>
      <c r="F353" s="27" t="s">
        <v>43</v>
      </c>
      <c r="G353" s="28" t="s">
        <v>43</v>
      </c>
      <c r="H353" s="29"/>
      <c r="I353" s="29" t="s">
        <v>44</v>
      </c>
      <c r="J353" s="30">
        <v>1</v>
      </c>
      <c r="K353" s="31">
        <f>1041</f>
        <v>1041</v>
      </c>
      <c r="L353" s="32" t="s">
        <v>1110</v>
      </c>
      <c r="M353" s="31">
        <f>1076</f>
        <v>1076</v>
      </c>
      <c r="N353" s="32" t="s">
        <v>679</v>
      </c>
      <c r="O353" s="31">
        <f>1013</f>
        <v>1013</v>
      </c>
      <c r="P353" s="32" t="s">
        <v>677</v>
      </c>
      <c r="Q353" s="31">
        <f>1075</f>
        <v>1075</v>
      </c>
      <c r="R353" s="32" t="s">
        <v>883</v>
      </c>
      <c r="S353" s="33">
        <f>1047.7</f>
        <v>1047.7</v>
      </c>
      <c r="T353" s="30">
        <f>273276</f>
        <v>273276</v>
      </c>
      <c r="U353" s="30" t="str">
        <f>"－"</f>
        <v>－</v>
      </c>
      <c r="V353" s="30">
        <f>285165000</f>
        <v>285165000</v>
      </c>
      <c r="W353" s="30" t="str">
        <f>"－"</f>
        <v>－</v>
      </c>
      <c r="X353" s="34">
        <f>20</f>
        <v>20</v>
      </c>
    </row>
    <row r="354" spans="1:24">
      <c r="A354" s="25" t="s">
        <v>1128</v>
      </c>
      <c r="B354" s="25" t="s">
        <v>864</v>
      </c>
      <c r="C354" s="25" t="s">
        <v>865</v>
      </c>
      <c r="D354" s="25" t="s">
        <v>950</v>
      </c>
      <c r="E354" s="26" t="s">
        <v>43</v>
      </c>
      <c r="F354" s="27" t="s">
        <v>43</v>
      </c>
      <c r="G354" s="28" t="s">
        <v>43</v>
      </c>
      <c r="H354" s="29"/>
      <c r="I354" s="29" t="s">
        <v>44</v>
      </c>
      <c r="J354" s="30">
        <v>1</v>
      </c>
      <c r="K354" s="31">
        <f>38810</f>
        <v>38810</v>
      </c>
      <c r="L354" s="32" t="s">
        <v>1110</v>
      </c>
      <c r="M354" s="31">
        <f>40070</f>
        <v>40070</v>
      </c>
      <c r="N354" s="32" t="s">
        <v>675</v>
      </c>
      <c r="O354" s="31">
        <f>37690</f>
        <v>37690</v>
      </c>
      <c r="P354" s="32" t="s">
        <v>678</v>
      </c>
      <c r="Q354" s="31">
        <f>39550</f>
        <v>39550</v>
      </c>
      <c r="R354" s="32" t="s">
        <v>883</v>
      </c>
      <c r="S354" s="33">
        <f>39192.5</f>
        <v>39192.5</v>
      </c>
      <c r="T354" s="30">
        <f>252771</f>
        <v>252771</v>
      </c>
      <c r="U354" s="30">
        <f>135</f>
        <v>135</v>
      </c>
      <c r="V354" s="30">
        <f>9884537330</f>
        <v>9884537330</v>
      </c>
      <c r="W354" s="30">
        <f>5144740</f>
        <v>5144740</v>
      </c>
      <c r="X354" s="34">
        <f>20</f>
        <v>20</v>
      </c>
    </row>
    <row r="355" spans="1:24">
      <c r="A355" s="25" t="s">
        <v>1128</v>
      </c>
      <c r="B355" s="25" t="s">
        <v>866</v>
      </c>
      <c r="C355" s="25" t="s">
        <v>867</v>
      </c>
      <c r="D355" s="25" t="s">
        <v>951</v>
      </c>
      <c r="E355" s="26" t="s">
        <v>43</v>
      </c>
      <c r="F355" s="27" t="s">
        <v>43</v>
      </c>
      <c r="G355" s="28" t="s">
        <v>43</v>
      </c>
      <c r="H355" s="29"/>
      <c r="I355" s="29" t="s">
        <v>44</v>
      </c>
      <c r="J355" s="30">
        <v>1</v>
      </c>
      <c r="K355" s="31">
        <f>24350</f>
        <v>24350</v>
      </c>
      <c r="L355" s="32" t="s">
        <v>1110</v>
      </c>
      <c r="M355" s="31">
        <f>24860</f>
        <v>24860</v>
      </c>
      <c r="N355" s="32" t="s">
        <v>678</v>
      </c>
      <c r="O355" s="31">
        <f>23285</f>
        <v>23285</v>
      </c>
      <c r="P355" s="32" t="s">
        <v>883</v>
      </c>
      <c r="Q355" s="31">
        <f>23675</f>
        <v>23675</v>
      </c>
      <c r="R355" s="32" t="s">
        <v>883</v>
      </c>
      <c r="S355" s="33">
        <f>23964.75</f>
        <v>23964.75</v>
      </c>
      <c r="T355" s="30">
        <f>188785</f>
        <v>188785</v>
      </c>
      <c r="U355" s="30">
        <f>9</f>
        <v>9</v>
      </c>
      <c r="V355" s="30">
        <f>4549371685</f>
        <v>4549371685</v>
      </c>
      <c r="W355" s="30">
        <f>205485</f>
        <v>205485</v>
      </c>
      <c r="X355" s="34">
        <f>20</f>
        <v>20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ED6F-6F41-4F51-AD42-1F651A10F46E}">
  <sheetPr>
    <pageSetUpPr fitToPage="1"/>
  </sheetPr>
  <dimension ref="A1:X352"/>
  <sheetViews>
    <sheetView showGridLines="0" view="pageBreakPreview" zoomScaleNormal="7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1109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2678</f>
        <v>2678</v>
      </c>
      <c r="L7" s="32" t="s">
        <v>1110</v>
      </c>
      <c r="M7" s="31">
        <f>2847.5</f>
        <v>2847.5</v>
      </c>
      <c r="N7" s="32" t="s">
        <v>1111</v>
      </c>
      <c r="O7" s="31">
        <f>2672</f>
        <v>2672</v>
      </c>
      <c r="P7" s="32" t="s">
        <v>1110</v>
      </c>
      <c r="Q7" s="31">
        <f>2828.5</f>
        <v>2828.5</v>
      </c>
      <c r="R7" s="32" t="s">
        <v>883</v>
      </c>
      <c r="S7" s="33">
        <f>2756.58</f>
        <v>2756.58</v>
      </c>
      <c r="T7" s="30">
        <f>15230270</f>
        <v>15230270</v>
      </c>
      <c r="U7" s="30">
        <f>12553550</f>
        <v>12553550</v>
      </c>
      <c r="V7" s="30">
        <f>41500458033</f>
        <v>41500458033</v>
      </c>
      <c r="W7" s="30">
        <f>34071847123</f>
        <v>34071847123</v>
      </c>
      <c r="X7" s="34">
        <f>19</f>
        <v>19</v>
      </c>
    </row>
    <row r="8" spans="1:24">
      <c r="A8" s="25" t="s">
        <v>1109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2649.5</f>
        <v>2649.5</v>
      </c>
      <c r="L8" s="32" t="s">
        <v>1110</v>
      </c>
      <c r="M8" s="31">
        <f>2817.5</f>
        <v>2817.5</v>
      </c>
      <c r="N8" s="32" t="s">
        <v>1111</v>
      </c>
      <c r="O8" s="31">
        <f>2643</f>
        <v>2643</v>
      </c>
      <c r="P8" s="32" t="s">
        <v>1110</v>
      </c>
      <c r="Q8" s="31">
        <f>2805</f>
        <v>2805</v>
      </c>
      <c r="R8" s="32" t="s">
        <v>883</v>
      </c>
      <c r="S8" s="33">
        <f>2728.26</f>
        <v>2728.26</v>
      </c>
      <c r="T8" s="30">
        <f>35111420</f>
        <v>35111420</v>
      </c>
      <c r="U8" s="30">
        <f>2932930</f>
        <v>2932930</v>
      </c>
      <c r="V8" s="30">
        <f>95744446195</f>
        <v>95744446195</v>
      </c>
      <c r="W8" s="30">
        <f>8088778720</f>
        <v>8088778720</v>
      </c>
      <c r="X8" s="34">
        <f>19</f>
        <v>19</v>
      </c>
    </row>
    <row r="9" spans="1:24">
      <c r="A9" s="25" t="s">
        <v>1109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2617</f>
        <v>2617</v>
      </c>
      <c r="L9" s="32" t="s">
        <v>1110</v>
      </c>
      <c r="M9" s="31">
        <f>2784</f>
        <v>2784</v>
      </c>
      <c r="N9" s="32" t="s">
        <v>1111</v>
      </c>
      <c r="O9" s="31">
        <f>2611</f>
        <v>2611</v>
      </c>
      <c r="P9" s="32" t="s">
        <v>1110</v>
      </c>
      <c r="Q9" s="31">
        <f>2764</f>
        <v>2764</v>
      </c>
      <c r="R9" s="32" t="s">
        <v>883</v>
      </c>
      <c r="S9" s="33">
        <f>2694.68</f>
        <v>2694.68</v>
      </c>
      <c r="T9" s="30">
        <f>5747419</f>
        <v>5747419</v>
      </c>
      <c r="U9" s="30">
        <f>233811</f>
        <v>233811</v>
      </c>
      <c r="V9" s="30">
        <f>15659002878</f>
        <v>15659002878</v>
      </c>
      <c r="W9" s="30">
        <f>630913525</f>
        <v>630913525</v>
      </c>
      <c r="X9" s="34">
        <f>19</f>
        <v>19</v>
      </c>
    </row>
    <row r="10" spans="1:24">
      <c r="A10" s="25" t="s">
        <v>1109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36640</f>
        <v>36640</v>
      </c>
      <c r="L10" s="32" t="s">
        <v>1110</v>
      </c>
      <c r="M10" s="31">
        <f>39750</f>
        <v>39750</v>
      </c>
      <c r="N10" s="32" t="s">
        <v>1112</v>
      </c>
      <c r="O10" s="31">
        <f>36020</f>
        <v>36020</v>
      </c>
      <c r="P10" s="32" t="s">
        <v>674</v>
      </c>
      <c r="Q10" s="31">
        <f>38840</f>
        <v>38840</v>
      </c>
      <c r="R10" s="32" t="s">
        <v>883</v>
      </c>
      <c r="S10" s="33">
        <f>38153.16</f>
        <v>38153.160000000003</v>
      </c>
      <c r="T10" s="30">
        <f>6343</f>
        <v>6343</v>
      </c>
      <c r="U10" s="30" t="str">
        <f>"－"</f>
        <v>－</v>
      </c>
      <c r="V10" s="30">
        <f>242056950</f>
        <v>242056950</v>
      </c>
      <c r="W10" s="30" t="str">
        <f>"－"</f>
        <v>－</v>
      </c>
      <c r="X10" s="34">
        <f>19</f>
        <v>19</v>
      </c>
    </row>
    <row r="11" spans="1:24">
      <c r="A11" s="25" t="s">
        <v>1109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1314</f>
        <v>1314</v>
      </c>
      <c r="L11" s="32" t="s">
        <v>1110</v>
      </c>
      <c r="M11" s="31">
        <f>1430</f>
        <v>1430</v>
      </c>
      <c r="N11" s="32" t="s">
        <v>1111</v>
      </c>
      <c r="O11" s="31">
        <f>1301</f>
        <v>1301</v>
      </c>
      <c r="P11" s="32" t="s">
        <v>1110</v>
      </c>
      <c r="Q11" s="31">
        <f>1413</f>
        <v>1413</v>
      </c>
      <c r="R11" s="32" t="s">
        <v>883</v>
      </c>
      <c r="S11" s="33">
        <f>1370.89</f>
        <v>1370.89</v>
      </c>
      <c r="T11" s="30">
        <f>551260</f>
        <v>551260</v>
      </c>
      <c r="U11" s="30">
        <f>11080</f>
        <v>11080</v>
      </c>
      <c r="V11" s="30">
        <f>761635875</f>
        <v>761635875</v>
      </c>
      <c r="W11" s="30">
        <f>14731550</f>
        <v>14731550</v>
      </c>
      <c r="X11" s="34">
        <f>19</f>
        <v>19</v>
      </c>
    </row>
    <row r="12" spans="1:24">
      <c r="A12" s="25" t="s">
        <v>1109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454.6</f>
        <v>454.6</v>
      </c>
      <c r="L12" s="32" t="s">
        <v>1110</v>
      </c>
      <c r="M12" s="31">
        <f>496</f>
        <v>496</v>
      </c>
      <c r="N12" s="32" t="s">
        <v>676</v>
      </c>
      <c r="O12" s="31">
        <f>450.2</f>
        <v>450.2</v>
      </c>
      <c r="P12" s="32" t="s">
        <v>1113</v>
      </c>
      <c r="Q12" s="31">
        <f>490</f>
        <v>490</v>
      </c>
      <c r="R12" s="32" t="s">
        <v>1114</v>
      </c>
      <c r="S12" s="33">
        <f>470.86</f>
        <v>470.86</v>
      </c>
      <c r="T12" s="30">
        <f>117000</f>
        <v>117000</v>
      </c>
      <c r="U12" s="30" t="str">
        <f>"－"</f>
        <v>－</v>
      </c>
      <c r="V12" s="30">
        <f>55152900</f>
        <v>55152900</v>
      </c>
      <c r="W12" s="30" t="str">
        <f>"－"</f>
        <v>－</v>
      </c>
      <c r="X12" s="34">
        <f>16</f>
        <v>16</v>
      </c>
    </row>
    <row r="13" spans="1:24">
      <c r="A13" s="25" t="s">
        <v>1109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37160</f>
        <v>37160</v>
      </c>
      <c r="L13" s="32" t="s">
        <v>1110</v>
      </c>
      <c r="M13" s="31">
        <f>40740</f>
        <v>40740</v>
      </c>
      <c r="N13" s="32" t="s">
        <v>676</v>
      </c>
      <c r="O13" s="31">
        <f>37040</f>
        <v>37040</v>
      </c>
      <c r="P13" s="32" t="s">
        <v>1115</v>
      </c>
      <c r="Q13" s="31">
        <f>40500</f>
        <v>40500</v>
      </c>
      <c r="R13" s="32" t="s">
        <v>883</v>
      </c>
      <c r="S13" s="33">
        <f>39051.05</f>
        <v>39051.050000000003</v>
      </c>
      <c r="T13" s="30">
        <f>843100</f>
        <v>843100</v>
      </c>
      <c r="U13" s="30">
        <f>61468</f>
        <v>61468</v>
      </c>
      <c r="V13" s="30">
        <f>33144043456</f>
        <v>33144043456</v>
      </c>
      <c r="W13" s="30">
        <f>2402649226</f>
        <v>2402649226</v>
      </c>
      <c r="X13" s="34">
        <f>19</f>
        <v>19</v>
      </c>
    </row>
    <row r="14" spans="1:24">
      <c r="A14" s="25" t="s">
        <v>1109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37290</f>
        <v>37290</v>
      </c>
      <c r="L14" s="32" t="s">
        <v>1110</v>
      </c>
      <c r="M14" s="31">
        <f>40900</f>
        <v>40900</v>
      </c>
      <c r="N14" s="32" t="s">
        <v>676</v>
      </c>
      <c r="O14" s="31">
        <f>37190</f>
        <v>37190</v>
      </c>
      <c r="P14" s="32" t="s">
        <v>1115</v>
      </c>
      <c r="Q14" s="31">
        <f>40670</f>
        <v>40670</v>
      </c>
      <c r="R14" s="32" t="s">
        <v>883</v>
      </c>
      <c r="S14" s="33">
        <f>39203.68</f>
        <v>39203.68</v>
      </c>
      <c r="T14" s="30">
        <f>6737366</f>
        <v>6737366</v>
      </c>
      <c r="U14" s="30">
        <f>528009</f>
        <v>528009</v>
      </c>
      <c r="V14" s="30">
        <f>263835360301</f>
        <v>263835360301</v>
      </c>
      <c r="W14" s="30">
        <f>20107144441</f>
        <v>20107144441</v>
      </c>
      <c r="X14" s="34">
        <f>19</f>
        <v>19</v>
      </c>
    </row>
    <row r="15" spans="1:24">
      <c r="A15" s="25" t="s">
        <v>1109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6876</f>
        <v>6876</v>
      </c>
      <c r="L15" s="32" t="s">
        <v>1110</v>
      </c>
      <c r="M15" s="31">
        <f>7579</f>
        <v>7579</v>
      </c>
      <c r="N15" s="32" t="s">
        <v>1112</v>
      </c>
      <c r="O15" s="31">
        <f>6670</f>
        <v>6670</v>
      </c>
      <c r="P15" s="32" t="s">
        <v>1116</v>
      </c>
      <c r="Q15" s="31">
        <f>7402</f>
        <v>7402</v>
      </c>
      <c r="R15" s="32" t="s">
        <v>883</v>
      </c>
      <c r="S15" s="33">
        <f>7187.21</f>
        <v>7187.21</v>
      </c>
      <c r="T15" s="30">
        <f>25810</f>
        <v>25810</v>
      </c>
      <c r="U15" s="30" t="str">
        <f>"－"</f>
        <v>－</v>
      </c>
      <c r="V15" s="30">
        <f>184315510</f>
        <v>184315510</v>
      </c>
      <c r="W15" s="30" t="str">
        <f>"－"</f>
        <v>－</v>
      </c>
      <c r="X15" s="34">
        <f>19</f>
        <v>19</v>
      </c>
    </row>
    <row r="16" spans="1:24">
      <c r="A16" s="25" t="s">
        <v>1109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1109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246</f>
        <v>246</v>
      </c>
      <c r="L17" s="32" t="s">
        <v>1110</v>
      </c>
      <c r="M17" s="31">
        <f>253.8</f>
        <v>253.8</v>
      </c>
      <c r="N17" s="32" t="s">
        <v>883</v>
      </c>
      <c r="O17" s="31">
        <f>243.6</f>
        <v>243.6</v>
      </c>
      <c r="P17" s="32" t="s">
        <v>1117</v>
      </c>
      <c r="Q17" s="31">
        <f>253.8</f>
        <v>253.8</v>
      </c>
      <c r="R17" s="32" t="s">
        <v>883</v>
      </c>
      <c r="S17" s="33">
        <f>248.88</f>
        <v>248.88</v>
      </c>
      <c r="T17" s="30">
        <f>819400</f>
        <v>819400</v>
      </c>
      <c r="U17" s="30">
        <f>1200</f>
        <v>1200</v>
      </c>
      <c r="V17" s="30">
        <f>204146760</f>
        <v>204146760</v>
      </c>
      <c r="W17" s="30">
        <f>296710</f>
        <v>296710</v>
      </c>
      <c r="X17" s="34">
        <f>19</f>
        <v>19</v>
      </c>
    </row>
    <row r="18" spans="1:24">
      <c r="A18" s="25" t="s">
        <v>1109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27795</f>
        <v>27795</v>
      </c>
      <c r="L18" s="32" t="s">
        <v>1110</v>
      </c>
      <c r="M18" s="31">
        <f>28405</f>
        <v>28405</v>
      </c>
      <c r="N18" s="32" t="s">
        <v>883</v>
      </c>
      <c r="O18" s="31">
        <f>27705</f>
        <v>27705</v>
      </c>
      <c r="P18" s="32" t="s">
        <v>875</v>
      </c>
      <c r="Q18" s="31">
        <f>28275</f>
        <v>28275</v>
      </c>
      <c r="R18" s="32" t="s">
        <v>883</v>
      </c>
      <c r="S18" s="33">
        <f>28044.74</f>
        <v>28044.74</v>
      </c>
      <c r="T18" s="30">
        <f>114034</f>
        <v>114034</v>
      </c>
      <c r="U18" s="30" t="str">
        <f>"－"</f>
        <v>－</v>
      </c>
      <c r="V18" s="30">
        <f>3192910975</f>
        <v>3192910975</v>
      </c>
      <c r="W18" s="30" t="str">
        <f>"－"</f>
        <v>－</v>
      </c>
      <c r="X18" s="34">
        <f>19</f>
        <v>19</v>
      </c>
    </row>
    <row r="19" spans="1:24">
      <c r="A19" s="25" t="s">
        <v>1109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7374</f>
        <v>7374</v>
      </c>
      <c r="L19" s="32" t="s">
        <v>1110</v>
      </c>
      <c r="M19" s="31">
        <f>7528</f>
        <v>7528</v>
      </c>
      <c r="N19" s="32" t="s">
        <v>883</v>
      </c>
      <c r="O19" s="31">
        <f>7348</f>
        <v>7348</v>
      </c>
      <c r="P19" s="32" t="s">
        <v>875</v>
      </c>
      <c r="Q19" s="31">
        <f>7491</f>
        <v>7491</v>
      </c>
      <c r="R19" s="32" t="s">
        <v>883</v>
      </c>
      <c r="S19" s="33">
        <f>7442.68</f>
        <v>7442.68</v>
      </c>
      <c r="T19" s="30">
        <f>265540</f>
        <v>265540</v>
      </c>
      <c r="U19" s="30">
        <f>170</f>
        <v>170</v>
      </c>
      <c r="V19" s="30">
        <f>1973147590</f>
        <v>1973147590</v>
      </c>
      <c r="W19" s="30">
        <f>1260840</f>
        <v>1260840</v>
      </c>
      <c r="X19" s="34">
        <f>19</f>
        <v>19</v>
      </c>
    </row>
    <row r="20" spans="1:24">
      <c r="A20" s="25" t="s">
        <v>1109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37480</f>
        <v>37480</v>
      </c>
      <c r="L20" s="32" t="s">
        <v>1110</v>
      </c>
      <c r="M20" s="31">
        <f>40780</f>
        <v>40780</v>
      </c>
      <c r="N20" s="32" t="s">
        <v>676</v>
      </c>
      <c r="O20" s="31">
        <f>37380</f>
        <v>37380</v>
      </c>
      <c r="P20" s="32" t="s">
        <v>1115</v>
      </c>
      <c r="Q20" s="31">
        <f>40560</f>
        <v>40560</v>
      </c>
      <c r="R20" s="32" t="s">
        <v>883</v>
      </c>
      <c r="S20" s="33">
        <f>39173.16</f>
        <v>39173.160000000003</v>
      </c>
      <c r="T20" s="30">
        <f>925248</f>
        <v>925248</v>
      </c>
      <c r="U20" s="30">
        <f>47395</f>
        <v>47395</v>
      </c>
      <c r="V20" s="30">
        <f>36042632891</f>
        <v>36042632891</v>
      </c>
      <c r="W20" s="30">
        <f>1808622681</f>
        <v>1808622681</v>
      </c>
      <c r="X20" s="34">
        <f>19</f>
        <v>19</v>
      </c>
    </row>
    <row r="21" spans="1:24">
      <c r="A21" s="25" t="s">
        <v>1109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37320</f>
        <v>37320</v>
      </c>
      <c r="L21" s="32" t="s">
        <v>1110</v>
      </c>
      <c r="M21" s="31">
        <f>40940</f>
        <v>40940</v>
      </c>
      <c r="N21" s="32" t="s">
        <v>676</v>
      </c>
      <c r="O21" s="31">
        <f>37220</f>
        <v>37220</v>
      </c>
      <c r="P21" s="32" t="s">
        <v>1115</v>
      </c>
      <c r="Q21" s="31">
        <f>40700</f>
        <v>40700</v>
      </c>
      <c r="R21" s="32" t="s">
        <v>883</v>
      </c>
      <c r="S21" s="33">
        <f>39249.47</f>
        <v>39249.47</v>
      </c>
      <c r="T21" s="30">
        <f>704790</f>
        <v>704790</v>
      </c>
      <c r="U21" s="30">
        <f>169866</f>
        <v>169866</v>
      </c>
      <c r="V21" s="30">
        <f>27623892384</f>
        <v>27623892384</v>
      </c>
      <c r="W21" s="30">
        <f>6673391064</f>
        <v>6673391064</v>
      </c>
      <c r="X21" s="34">
        <f>19</f>
        <v>19</v>
      </c>
    </row>
    <row r="22" spans="1:24">
      <c r="A22" s="25" t="s">
        <v>1109</v>
      </c>
      <c r="B22" s="25" t="s">
        <v>1079</v>
      </c>
      <c r="C22" s="25" t="s">
        <v>1080</v>
      </c>
      <c r="D22" s="25" t="s">
        <v>1081</v>
      </c>
      <c r="E22" s="26" t="s">
        <v>43</v>
      </c>
      <c r="F22" s="27" t="s">
        <v>43</v>
      </c>
      <c r="G22" s="28" t="s">
        <v>43</v>
      </c>
      <c r="H22" s="29"/>
      <c r="I22" s="29" t="s">
        <v>44</v>
      </c>
      <c r="J22" s="30">
        <v>1</v>
      </c>
      <c r="K22" s="31">
        <f>1022</f>
        <v>1022</v>
      </c>
      <c r="L22" s="32" t="s">
        <v>1110</v>
      </c>
      <c r="M22" s="31">
        <f>1179</f>
        <v>1179</v>
      </c>
      <c r="N22" s="32" t="s">
        <v>680</v>
      </c>
      <c r="O22" s="31">
        <f>994</f>
        <v>994</v>
      </c>
      <c r="P22" s="32" t="s">
        <v>1116</v>
      </c>
      <c r="Q22" s="31">
        <f>1026</f>
        <v>1026</v>
      </c>
      <c r="R22" s="32" t="s">
        <v>883</v>
      </c>
      <c r="S22" s="33">
        <f>1018.42</f>
        <v>1018.42</v>
      </c>
      <c r="T22" s="30">
        <f>266123</f>
        <v>266123</v>
      </c>
      <c r="U22" s="30">
        <f>1</f>
        <v>1</v>
      </c>
      <c r="V22" s="30">
        <f>271435459</f>
        <v>271435459</v>
      </c>
      <c r="W22" s="30">
        <f>1021</f>
        <v>1021</v>
      </c>
      <c r="X22" s="34">
        <f>19</f>
        <v>19</v>
      </c>
    </row>
    <row r="23" spans="1:24">
      <c r="A23" s="25" t="s">
        <v>1109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1950</f>
        <v>1950</v>
      </c>
      <c r="L23" s="32" t="s">
        <v>1110</v>
      </c>
      <c r="M23" s="31">
        <f>1956.5</f>
        <v>1956.5</v>
      </c>
      <c r="N23" s="32" t="s">
        <v>674</v>
      </c>
      <c r="O23" s="31">
        <f>1805.5</f>
        <v>1805.5</v>
      </c>
      <c r="P23" s="32" t="s">
        <v>874</v>
      </c>
      <c r="Q23" s="31">
        <f>1837.5</f>
        <v>1837.5</v>
      </c>
      <c r="R23" s="32" t="s">
        <v>883</v>
      </c>
      <c r="S23" s="33">
        <f>1876.05</f>
        <v>1876.05</v>
      </c>
      <c r="T23" s="30">
        <f>19758180</f>
        <v>19758180</v>
      </c>
      <c r="U23" s="30">
        <f>6381110</f>
        <v>6381110</v>
      </c>
      <c r="V23" s="30">
        <f>36899926495</f>
        <v>36899926495</v>
      </c>
      <c r="W23" s="30">
        <f>11982796695</f>
        <v>11982796695</v>
      </c>
      <c r="X23" s="34">
        <f>19</f>
        <v>19</v>
      </c>
    </row>
    <row r="24" spans="1:24">
      <c r="A24" s="25" t="s">
        <v>1109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1825.5</f>
        <v>1825.5</v>
      </c>
      <c r="L24" s="32" t="s">
        <v>1110</v>
      </c>
      <c r="M24" s="31">
        <f>1833</f>
        <v>1833</v>
      </c>
      <c r="N24" s="32" t="s">
        <v>674</v>
      </c>
      <c r="O24" s="31">
        <f>1709</f>
        <v>1709</v>
      </c>
      <c r="P24" s="32" t="s">
        <v>874</v>
      </c>
      <c r="Q24" s="31">
        <f>1739.5</f>
        <v>1739.5</v>
      </c>
      <c r="R24" s="32" t="s">
        <v>883</v>
      </c>
      <c r="S24" s="33">
        <f>1768.66</f>
        <v>1768.66</v>
      </c>
      <c r="T24" s="30">
        <f>16795700</f>
        <v>16795700</v>
      </c>
      <c r="U24" s="30">
        <f>3936400</f>
        <v>3936400</v>
      </c>
      <c r="V24" s="30">
        <f>29363583822</f>
        <v>29363583822</v>
      </c>
      <c r="W24" s="30">
        <f>6938540822</f>
        <v>6938540822</v>
      </c>
      <c r="X24" s="34">
        <f>19</f>
        <v>19</v>
      </c>
    </row>
    <row r="25" spans="1:24">
      <c r="A25" s="25" t="s">
        <v>1109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37090</f>
        <v>37090</v>
      </c>
      <c r="L25" s="32" t="s">
        <v>1110</v>
      </c>
      <c r="M25" s="31">
        <f>40690</f>
        <v>40690</v>
      </c>
      <c r="N25" s="32" t="s">
        <v>676</v>
      </c>
      <c r="O25" s="31">
        <f>36990</f>
        <v>36990</v>
      </c>
      <c r="P25" s="32" t="s">
        <v>1115</v>
      </c>
      <c r="Q25" s="31">
        <f>40430</f>
        <v>40430</v>
      </c>
      <c r="R25" s="32" t="s">
        <v>883</v>
      </c>
      <c r="S25" s="33">
        <f>38997.37</f>
        <v>38997.370000000003</v>
      </c>
      <c r="T25" s="30">
        <f>659600</f>
        <v>659600</v>
      </c>
      <c r="U25" s="30">
        <f>282778</f>
        <v>282778</v>
      </c>
      <c r="V25" s="30">
        <f>25540172416</f>
        <v>25540172416</v>
      </c>
      <c r="W25" s="30">
        <f>10848302896</f>
        <v>10848302896</v>
      </c>
      <c r="X25" s="34">
        <f>19</f>
        <v>19</v>
      </c>
    </row>
    <row r="26" spans="1:24">
      <c r="A26" s="25" t="s">
        <v>1109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2619.5</f>
        <v>2619.5</v>
      </c>
      <c r="L26" s="32" t="s">
        <v>1110</v>
      </c>
      <c r="M26" s="31">
        <f>2785</f>
        <v>2785</v>
      </c>
      <c r="N26" s="32" t="s">
        <v>1111</v>
      </c>
      <c r="O26" s="31">
        <f>2613.5</f>
        <v>2613.5</v>
      </c>
      <c r="P26" s="32" t="s">
        <v>1110</v>
      </c>
      <c r="Q26" s="31">
        <f>2766.5</f>
        <v>2766.5</v>
      </c>
      <c r="R26" s="32" t="s">
        <v>883</v>
      </c>
      <c r="S26" s="33">
        <f>2696.32</f>
        <v>2696.32</v>
      </c>
      <c r="T26" s="30">
        <f>2373690</f>
        <v>2373690</v>
      </c>
      <c r="U26" s="30">
        <f>30000</f>
        <v>30000</v>
      </c>
      <c r="V26" s="30">
        <f>6424106230</f>
        <v>6424106230</v>
      </c>
      <c r="W26" s="30">
        <f>81582000</f>
        <v>81582000</v>
      </c>
      <c r="X26" s="34">
        <f>19</f>
        <v>19</v>
      </c>
    </row>
    <row r="27" spans="1:24">
      <c r="A27" s="25" t="s">
        <v>1109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15600</f>
        <v>15600</v>
      </c>
      <c r="L27" s="32" t="s">
        <v>1110</v>
      </c>
      <c r="M27" s="31">
        <f>16055</f>
        <v>16055</v>
      </c>
      <c r="N27" s="32" t="s">
        <v>883</v>
      </c>
      <c r="O27" s="31">
        <f>15570</f>
        <v>15570</v>
      </c>
      <c r="P27" s="32" t="s">
        <v>1116</v>
      </c>
      <c r="Q27" s="31">
        <f>16055</f>
        <v>16055</v>
      </c>
      <c r="R27" s="32" t="s">
        <v>883</v>
      </c>
      <c r="S27" s="33">
        <f>15831.76</f>
        <v>15831.76</v>
      </c>
      <c r="T27" s="30">
        <f>1230</f>
        <v>1230</v>
      </c>
      <c r="U27" s="30" t="str">
        <f>"－"</f>
        <v>－</v>
      </c>
      <c r="V27" s="30">
        <f>19455100</f>
        <v>19455100</v>
      </c>
      <c r="W27" s="30" t="str">
        <f>"－"</f>
        <v>－</v>
      </c>
      <c r="X27" s="34">
        <f>17</f>
        <v>17</v>
      </c>
    </row>
    <row r="28" spans="1:24">
      <c r="A28" s="25" t="s">
        <v>1109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470</f>
        <v>470</v>
      </c>
      <c r="L28" s="32" t="s">
        <v>1110</v>
      </c>
      <c r="M28" s="31">
        <f>471.9</f>
        <v>471.9</v>
      </c>
      <c r="N28" s="32" t="s">
        <v>1110</v>
      </c>
      <c r="O28" s="31">
        <f>412.7</f>
        <v>412.7</v>
      </c>
      <c r="P28" s="32" t="s">
        <v>1111</v>
      </c>
      <c r="Q28" s="31">
        <f>418.2</f>
        <v>418.2</v>
      </c>
      <c r="R28" s="32" t="s">
        <v>883</v>
      </c>
      <c r="S28" s="33">
        <f>442.21</f>
        <v>442.21</v>
      </c>
      <c r="T28" s="30">
        <f>23250870</f>
        <v>23250870</v>
      </c>
      <c r="U28" s="30">
        <f>661460</f>
        <v>661460</v>
      </c>
      <c r="V28" s="30">
        <f>10289792251</f>
        <v>10289792251</v>
      </c>
      <c r="W28" s="30">
        <f>279996018</f>
        <v>279996018</v>
      </c>
      <c r="X28" s="34">
        <f>19</f>
        <v>19</v>
      </c>
    </row>
    <row r="29" spans="1:24">
      <c r="A29" s="25" t="s">
        <v>1109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179</f>
        <v>179</v>
      </c>
      <c r="L29" s="32" t="s">
        <v>1110</v>
      </c>
      <c r="M29" s="31">
        <f>180</f>
        <v>180</v>
      </c>
      <c r="N29" s="32" t="s">
        <v>1110</v>
      </c>
      <c r="O29" s="31">
        <f>147</f>
        <v>147</v>
      </c>
      <c r="P29" s="32" t="s">
        <v>676</v>
      </c>
      <c r="Q29" s="31">
        <f>149</f>
        <v>149</v>
      </c>
      <c r="R29" s="32" t="s">
        <v>883</v>
      </c>
      <c r="S29" s="33">
        <f>161.53</f>
        <v>161.53</v>
      </c>
      <c r="T29" s="30">
        <f>1293680846</f>
        <v>1293680846</v>
      </c>
      <c r="U29" s="30">
        <f>5408730</f>
        <v>5408730</v>
      </c>
      <c r="V29" s="30">
        <f>208393039573</f>
        <v>208393039573</v>
      </c>
      <c r="W29" s="30">
        <f>878041337</f>
        <v>878041337</v>
      </c>
      <c r="X29" s="34">
        <f>19</f>
        <v>19</v>
      </c>
    </row>
    <row r="30" spans="1:24">
      <c r="A30" s="25" t="s">
        <v>1109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45180</f>
        <v>45180</v>
      </c>
      <c r="L30" s="32" t="s">
        <v>1110</v>
      </c>
      <c r="M30" s="31">
        <f>54070</f>
        <v>54070</v>
      </c>
      <c r="N30" s="32" t="s">
        <v>676</v>
      </c>
      <c r="O30" s="31">
        <f>44790</f>
        <v>44790</v>
      </c>
      <c r="P30" s="32" t="s">
        <v>1115</v>
      </c>
      <c r="Q30" s="31">
        <f>53470</f>
        <v>53470</v>
      </c>
      <c r="R30" s="32" t="s">
        <v>883</v>
      </c>
      <c r="S30" s="33">
        <f>49776.32</f>
        <v>49776.32</v>
      </c>
      <c r="T30" s="30">
        <f>376939</f>
        <v>376939</v>
      </c>
      <c r="U30" s="30">
        <f>15</f>
        <v>15</v>
      </c>
      <c r="V30" s="30">
        <f>18860571360</f>
        <v>18860571360</v>
      </c>
      <c r="W30" s="30">
        <f>694190</f>
        <v>694190</v>
      </c>
      <c r="X30" s="34">
        <f>19</f>
        <v>19</v>
      </c>
    </row>
    <row r="31" spans="1:24">
      <c r="A31" s="25" t="s">
        <v>1109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437.2</f>
        <v>437.2</v>
      </c>
      <c r="L31" s="32" t="s">
        <v>1110</v>
      </c>
      <c r="M31" s="31">
        <f>439.5</f>
        <v>439.5</v>
      </c>
      <c r="N31" s="32" t="s">
        <v>1115</v>
      </c>
      <c r="O31" s="31">
        <f>360.5</f>
        <v>360.5</v>
      </c>
      <c r="P31" s="32" t="s">
        <v>1111</v>
      </c>
      <c r="Q31" s="31">
        <f>364.7</f>
        <v>364.7</v>
      </c>
      <c r="R31" s="32" t="s">
        <v>883</v>
      </c>
      <c r="S31" s="33">
        <f>394.92</f>
        <v>394.92</v>
      </c>
      <c r="T31" s="30">
        <f>485555610</f>
        <v>485555610</v>
      </c>
      <c r="U31" s="30">
        <f>523560</f>
        <v>523560</v>
      </c>
      <c r="V31" s="30">
        <f>192590211836</f>
        <v>192590211836</v>
      </c>
      <c r="W31" s="30">
        <f>204550317</f>
        <v>204550317</v>
      </c>
      <c r="X31" s="34">
        <f>19</f>
        <v>19</v>
      </c>
    </row>
    <row r="32" spans="1:24">
      <c r="A32" s="25" t="s">
        <v>1109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23590</f>
        <v>23590</v>
      </c>
      <c r="L32" s="32" t="s">
        <v>1110</v>
      </c>
      <c r="M32" s="31">
        <f>24875</f>
        <v>24875</v>
      </c>
      <c r="N32" s="32" t="s">
        <v>1111</v>
      </c>
      <c r="O32" s="31">
        <f>23440</f>
        <v>23440</v>
      </c>
      <c r="P32" s="32" t="s">
        <v>1113</v>
      </c>
      <c r="Q32" s="31">
        <f>24705</f>
        <v>24705</v>
      </c>
      <c r="R32" s="32" t="s">
        <v>883</v>
      </c>
      <c r="S32" s="33">
        <f>24121.05</f>
        <v>24121.05</v>
      </c>
      <c r="T32" s="30">
        <f>23848</f>
        <v>23848</v>
      </c>
      <c r="U32" s="30">
        <f>5</f>
        <v>5</v>
      </c>
      <c r="V32" s="30">
        <f>574848290</f>
        <v>574848290</v>
      </c>
      <c r="W32" s="30">
        <f>118285</f>
        <v>118285</v>
      </c>
      <c r="X32" s="34">
        <f>19</f>
        <v>19</v>
      </c>
    </row>
    <row r="33" spans="1:24">
      <c r="A33" s="25" t="s">
        <v>1109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37470</f>
        <v>37470</v>
      </c>
      <c r="L33" s="32" t="s">
        <v>1110</v>
      </c>
      <c r="M33" s="31">
        <f>44910</f>
        <v>44910</v>
      </c>
      <c r="N33" s="32" t="s">
        <v>1111</v>
      </c>
      <c r="O33" s="31">
        <f>37250</f>
        <v>37250</v>
      </c>
      <c r="P33" s="32" t="s">
        <v>1115</v>
      </c>
      <c r="Q33" s="31">
        <f>44360</f>
        <v>44360</v>
      </c>
      <c r="R33" s="32" t="s">
        <v>883</v>
      </c>
      <c r="S33" s="33">
        <f>41374.21</f>
        <v>41374.21</v>
      </c>
      <c r="T33" s="30">
        <f>817126</f>
        <v>817126</v>
      </c>
      <c r="U33" s="30">
        <f>40</f>
        <v>40</v>
      </c>
      <c r="V33" s="30">
        <f>33895456630</f>
        <v>33895456630</v>
      </c>
      <c r="W33" s="30">
        <f>1711200</f>
        <v>1711200</v>
      </c>
      <c r="X33" s="34">
        <f>19</f>
        <v>19</v>
      </c>
    </row>
    <row r="34" spans="1:24">
      <c r="A34" s="25" t="s">
        <v>1109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464</f>
        <v>464</v>
      </c>
      <c r="L34" s="32" t="s">
        <v>1110</v>
      </c>
      <c r="M34" s="31">
        <f>467</f>
        <v>467</v>
      </c>
      <c r="N34" s="32" t="s">
        <v>1115</v>
      </c>
      <c r="O34" s="31">
        <f>383</f>
        <v>383</v>
      </c>
      <c r="P34" s="32" t="s">
        <v>676</v>
      </c>
      <c r="Q34" s="31">
        <f>387</f>
        <v>387</v>
      </c>
      <c r="R34" s="32" t="s">
        <v>883</v>
      </c>
      <c r="S34" s="33">
        <f>419.79</f>
        <v>419.79</v>
      </c>
      <c r="T34" s="30">
        <f>31727885</f>
        <v>31727885</v>
      </c>
      <c r="U34" s="30">
        <f>102259</f>
        <v>102259</v>
      </c>
      <c r="V34" s="30">
        <f>13320869948</f>
        <v>13320869948</v>
      </c>
      <c r="W34" s="30">
        <f>39693275</f>
        <v>39693275</v>
      </c>
      <c r="X34" s="34">
        <f>19</f>
        <v>19</v>
      </c>
    </row>
    <row r="35" spans="1:24">
      <c r="A35" s="25" t="s">
        <v>1109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32280</f>
        <v>32280</v>
      </c>
      <c r="L35" s="32" t="s">
        <v>1110</v>
      </c>
      <c r="M35" s="31">
        <f>36440</f>
        <v>36440</v>
      </c>
      <c r="N35" s="32" t="s">
        <v>1111</v>
      </c>
      <c r="O35" s="31">
        <f>32140</f>
        <v>32140</v>
      </c>
      <c r="P35" s="32" t="s">
        <v>1110</v>
      </c>
      <c r="Q35" s="31">
        <f>35970</f>
        <v>35970</v>
      </c>
      <c r="R35" s="32" t="s">
        <v>883</v>
      </c>
      <c r="S35" s="33">
        <f>34188.95</f>
        <v>34188.949999999997</v>
      </c>
      <c r="T35" s="30">
        <f>143365</f>
        <v>143365</v>
      </c>
      <c r="U35" s="30" t="str">
        <f>"－"</f>
        <v>－</v>
      </c>
      <c r="V35" s="30">
        <f>4900195840</f>
        <v>4900195840</v>
      </c>
      <c r="W35" s="30" t="str">
        <f>"－"</f>
        <v>－</v>
      </c>
      <c r="X35" s="34">
        <f>19</f>
        <v>19</v>
      </c>
    </row>
    <row r="36" spans="1:24">
      <c r="A36" s="25" t="s">
        <v>1109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680</f>
        <v>680</v>
      </c>
      <c r="L36" s="32" t="s">
        <v>1110</v>
      </c>
      <c r="M36" s="31">
        <f>684</f>
        <v>684</v>
      </c>
      <c r="N36" s="32" t="s">
        <v>1110</v>
      </c>
      <c r="O36" s="31">
        <f>599</f>
        <v>599</v>
      </c>
      <c r="P36" s="32" t="s">
        <v>1111</v>
      </c>
      <c r="Q36" s="31">
        <f>606</f>
        <v>606</v>
      </c>
      <c r="R36" s="32" t="s">
        <v>883</v>
      </c>
      <c r="S36" s="33">
        <f>641.84</f>
        <v>641.84</v>
      </c>
      <c r="T36" s="30">
        <f>1827259</f>
        <v>1827259</v>
      </c>
      <c r="U36" s="30" t="str">
        <f>"－"</f>
        <v>－</v>
      </c>
      <c r="V36" s="30">
        <f>1171872040</f>
        <v>1171872040</v>
      </c>
      <c r="W36" s="30" t="str">
        <f>"－"</f>
        <v>－</v>
      </c>
      <c r="X36" s="34">
        <f>19</f>
        <v>19</v>
      </c>
    </row>
    <row r="37" spans="1:24">
      <c r="A37" s="25" t="s">
        <v>1109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36020</f>
        <v>36020</v>
      </c>
      <c r="L37" s="32" t="s">
        <v>1110</v>
      </c>
      <c r="M37" s="31">
        <f>39460</f>
        <v>39460</v>
      </c>
      <c r="N37" s="32" t="s">
        <v>676</v>
      </c>
      <c r="O37" s="31">
        <f>35900</f>
        <v>35900</v>
      </c>
      <c r="P37" s="32" t="s">
        <v>1115</v>
      </c>
      <c r="Q37" s="31">
        <f>39330</f>
        <v>39330</v>
      </c>
      <c r="R37" s="32" t="s">
        <v>883</v>
      </c>
      <c r="S37" s="33">
        <f>37856.32</f>
        <v>37856.32</v>
      </c>
      <c r="T37" s="30">
        <f>62157</f>
        <v>62157</v>
      </c>
      <c r="U37" s="30">
        <f>3000</f>
        <v>3000</v>
      </c>
      <c r="V37" s="30">
        <f>2350714050</f>
        <v>2350714050</v>
      </c>
      <c r="W37" s="30">
        <f>111413100</f>
        <v>111413100</v>
      </c>
      <c r="X37" s="34">
        <f>19</f>
        <v>19</v>
      </c>
    </row>
    <row r="38" spans="1:24">
      <c r="A38" s="25" t="s">
        <v>1109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36530</f>
        <v>36530</v>
      </c>
      <c r="L38" s="32" t="s">
        <v>1110</v>
      </c>
      <c r="M38" s="31">
        <f>39800</f>
        <v>39800</v>
      </c>
      <c r="N38" s="32" t="s">
        <v>676</v>
      </c>
      <c r="O38" s="31">
        <f>36240</f>
        <v>36240</v>
      </c>
      <c r="P38" s="32" t="s">
        <v>1115</v>
      </c>
      <c r="Q38" s="31">
        <f>39690</f>
        <v>39690</v>
      </c>
      <c r="R38" s="32" t="s">
        <v>883</v>
      </c>
      <c r="S38" s="33">
        <f>38232.63</f>
        <v>38232.629999999997</v>
      </c>
      <c r="T38" s="30">
        <f>514872</f>
        <v>514872</v>
      </c>
      <c r="U38" s="30">
        <f>254220</f>
        <v>254220</v>
      </c>
      <c r="V38" s="30">
        <f>19758400303</f>
        <v>19758400303</v>
      </c>
      <c r="W38" s="30">
        <f>9770543653</f>
        <v>9770543653</v>
      </c>
      <c r="X38" s="34">
        <f>19</f>
        <v>19</v>
      </c>
    </row>
    <row r="39" spans="1:24">
      <c r="A39" s="25" t="s">
        <v>1109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1843</f>
        <v>1843</v>
      </c>
      <c r="L39" s="32" t="s">
        <v>1110</v>
      </c>
      <c r="M39" s="31">
        <f>1859.5</f>
        <v>1859.5</v>
      </c>
      <c r="N39" s="32" t="s">
        <v>674</v>
      </c>
      <c r="O39" s="31">
        <f>1736</f>
        <v>1736</v>
      </c>
      <c r="P39" s="32" t="s">
        <v>874</v>
      </c>
      <c r="Q39" s="31">
        <f>1767.5</f>
        <v>1767.5</v>
      </c>
      <c r="R39" s="32" t="s">
        <v>883</v>
      </c>
      <c r="S39" s="33">
        <f>1796.03</f>
        <v>1796.03</v>
      </c>
      <c r="T39" s="30">
        <f>4573710</f>
        <v>4573710</v>
      </c>
      <c r="U39" s="30">
        <f>3509850</f>
        <v>3509850</v>
      </c>
      <c r="V39" s="30">
        <f>8320456027</f>
        <v>8320456027</v>
      </c>
      <c r="W39" s="30">
        <f>6408513362</f>
        <v>6408513362</v>
      </c>
      <c r="X39" s="34">
        <f>19</f>
        <v>19</v>
      </c>
    </row>
    <row r="40" spans="1:24">
      <c r="A40" s="25" t="s">
        <v>1109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2094</f>
        <v>2094</v>
      </c>
      <c r="L40" s="32" t="s">
        <v>1110</v>
      </c>
      <c r="M40" s="31">
        <f>2245</f>
        <v>2245</v>
      </c>
      <c r="N40" s="32" t="s">
        <v>1118</v>
      </c>
      <c r="O40" s="31">
        <f>2069</f>
        <v>2069</v>
      </c>
      <c r="P40" s="32" t="s">
        <v>1116</v>
      </c>
      <c r="Q40" s="31">
        <f>2145</f>
        <v>2145</v>
      </c>
      <c r="R40" s="32" t="s">
        <v>883</v>
      </c>
      <c r="S40" s="33">
        <f>2131.71</f>
        <v>2131.71</v>
      </c>
      <c r="T40" s="30">
        <f>12190</f>
        <v>12190</v>
      </c>
      <c r="U40" s="30">
        <f>10</f>
        <v>10</v>
      </c>
      <c r="V40" s="30">
        <f>26075150</f>
        <v>26075150</v>
      </c>
      <c r="W40" s="30">
        <f>21250</f>
        <v>21250</v>
      </c>
      <c r="X40" s="34">
        <f>19</f>
        <v>19</v>
      </c>
    </row>
    <row r="41" spans="1:24">
      <c r="A41" s="25" t="s">
        <v>1109</v>
      </c>
      <c r="B41" s="25" t="s">
        <v>1119</v>
      </c>
      <c r="C41" s="25" t="s">
        <v>1120</v>
      </c>
      <c r="D41" s="25" t="s">
        <v>1121</v>
      </c>
      <c r="E41" s="26" t="s">
        <v>672</v>
      </c>
      <c r="F41" s="27" t="s">
        <v>673</v>
      </c>
      <c r="G41" s="28" t="s">
        <v>1122</v>
      </c>
      <c r="H41" s="29"/>
      <c r="I41" s="29" t="s">
        <v>44</v>
      </c>
      <c r="J41" s="30">
        <v>1</v>
      </c>
      <c r="K41" s="31">
        <f>2006</f>
        <v>2006</v>
      </c>
      <c r="L41" s="32" t="s">
        <v>1114</v>
      </c>
      <c r="M41" s="31">
        <f>2006</f>
        <v>2006</v>
      </c>
      <c r="N41" s="32" t="s">
        <v>1114</v>
      </c>
      <c r="O41" s="31">
        <f>1991</f>
        <v>1991</v>
      </c>
      <c r="P41" s="32" t="s">
        <v>883</v>
      </c>
      <c r="Q41" s="31">
        <f>1999</f>
        <v>1999</v>
      </c>
      <c r="R41" s="32" t="s">
        <v>883</v>
      </c>
      <c r="S41" s="33">
        <f>1999.5</f>
        <v>1999.5</v>
      </c>
      <c r="T41" s="30">
        <f>1505</f>
        <v>1505</v>
      </c>
      <c r="U41" s="30" t="str">
        <f>"－"</f>
        <v>－</v>
      </c>
      <c r="V41" s="30">
        <f>3009587</f>
        <v>3009587</v>
      </c>
      <c r="W41" s="30" t="str">
        <f>"－"</f>
        <v>－</v>
      </c>
      <c r="X41" s="34">
        <f>2</f>
        <v>2</v>
      </c>
    </row>
    <row r="42" spans="1:24">
      <c r="A42" s="25" t="s">
        <v>1109</v>
      </c>
      <c r="B42" s="25" t="s">
        <v>125</v>
      </c>
      <c r="C42" s="25" t="s">
        <v>908</v>
      </c>
      <c r="D42" s="25" t="s">
        <v>909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2949</f>
        <v>2949</v>
      </c>
      <c r="L42" s="32" t="s">
        <v>1110</v>
      </c>
      <c r="M42" s="31">
        <f>2955</f>
        <v>2955</v>
      </c>
      <c r="N42" s="32" t="s">
        <v>1115</v>
      </c>
      <c r="O42" s="31">
        <f>2680</f>
        <v>2680</v>
      </c>
      <c r="P42" s="32" t="s">
        <v>676</v>
      </c>
      <c r="Q42" s="31">
        <f>2694</f>
        <v>2694</v>
      </c>
      <c r="R42" s="32" t="s">
        <v>883</v>
      </c>
      <c r="S42" s="33">
        <f>2802.42</f>
        <v>2802.42</v>
      </c>
      <c r="T42" s="30">
        <f>4325964</f>
        <v>4325964</v>
      </c>
      <c r="U42" s="30">
        <f>1652600</f>
        <v>1652600</v>
      </c>
      <c r="V42" s="30">
        <f>11959319643</f>
        <v>11959319643</v>
      </c>
      <c r="W42" s="30">
        <f>4469574046</f>
        <v>4469574046</v>
      </c>
      <c r="X42" s="34">
        <f>19</f>
        <v>19</v>
      </c>
    </row>
    <row r="43" spans="1:24">
      <c r="A43" s="25" t="s">
        <v>1109</v>
      </c>
      <c r="B43" s="25" t="s">
        <v>126</v>
      </c>
      <c r="C43" s="25" t="s">
        <v>910</v>
      </c>
      <c r="D43" s="25" t="s">
        <v>911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3495</f>
        <v>3495</v>
      </c>
      <c r="L43" s="32" t="s">
        <v>1110</v>
      </c>
      <c r="M43" s="31">
        <f>3495</f>
        <v>3495</v>
      </c>
      <c r="N43" s="32" t="s">
        <v>1110</v>
      </c>
      <c r="O43" s="31">
        <f>3275</f>
        <v>3275</v>
      </c>
      <c r="P43" s="32" t="s">
        <v>1111</v>
      </c>
      <c r="Q43" s="31">
        <f>3295</f>
        <v>3295</v>
      </c>
      <c r="R43" s="32" t="s">
        <v>883</v>
      </c>
      <c r="S43" s="33">
        <f>3387.11</f>
        <v>3387.11</v>
      </c>
      <c r="T43" s="30">
        <f>1510693</f>
        <v>1510693</v>
      </c>
      <c r="U43" s="30">
        <f>1414674</f>
        <v>1414674</v>
      </c>
      <c r="V43" s="30">
        <f>5242589790</f>
        <v>5242589790</v>
      </c>
      <c r="W43" s="30">
        <f>4918798595</f>
        <v>4918798595</v>
      </c>
      <c r="X43" s="34">
        <f>19</f>
        <v>19</v>
      </c>
    </row>
    <row r="44" spans="1:24">
      <c r="A44" s="25" t="s">
        <v>1109</v>
      </c>
      <c r="B44" s="25" t="s">
        <v>127</v>
      </c>
      <c r="C44" s="25" t="s">
        <v>128</v>
      </c>
      <c r="D44" s="25" t="s">
        <v>129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28650</f>
        <v>28650</v>
      </c>
      <c r="L44" s="32" t="s">
        <v>1110</v>
      </c>
      <c r="M44" s="31">
        <f>34300</f>
        <v>34300</v>
      </c>
      <c r="N44" s="32" t="s">
        <v>676</v>
      </c>
      <c r="O44" s="31">
        <f>28420</f>
        <v>28420</v>
      </c>
      <c r="P44" s="32" t="s">
        <v>1115</v>
      </c>
      <c r="Q44" s="31">
        <f>33890</f>
        <v>33890</v>
      </c>
      <c r="R44" s="32" t="s">
        <v>883</v>
      </c>
      <c r="S44" s="33">
        <f>31582.89</f>
        <v>31582.89</v>
      </c>
      <c r="T44" s="30">
        <f>6418217</f>
        <v>6418217</v>
      </c>
      <c r="U44" s="30">
        <f>2540</f>
        <v>2540</v>
      </c>
      <c r="V44" s="30">
        <f>201708110975</f>
        <v>201708110975</v>
      </c>
      <c r="W44" s="30">
        <f>80355180</f>
        <v>80355180</v>
      </c>
      <c r="X44" s="34">
        <f>19</f>
        <v>19</v>
      </c>
    </row>
    <row r="45" spans="1:24">
      <c r="A45" s="25" t="s">
        <v>1109</v>
      </c>
      <c r="B45" s="25" t="s">
        <v>130</v>
      </c>
      <c r="C45" s="25" t="s">
        <v>131</v>
      </c>
      <c r="D45" s="25" t="s">
        <v>132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721</f>
        <v>721</v>
      </c>
      <c r="L45" s="32" t="s">
        <v>1110</v>
      </c>
      <c r="M45" s="31">
        <f>725</f>
        <v>725</v>
      </c>
      <c r="N45" s="32" t="s">
        <v>1115</v>
      </c>
      <c r="O45" s="31">
        <f>594</f>
        <v>594</v>
      </c>
      <c r="P45" s="32" t="s">
        <v>676</v>
      </c>
      <c r="Q45" s="31">
        <f>601</f>
        <v>601</v>
      </c>
      <c r="R45" s="32" t="s">
        <v>883</v>
      </c>
      <c r="S45" s="33">
        <f>651.42</f>
        <v>651.41999999999996</v>
      </c>
      <c r="T45" s="30">
        <f>221771892</f>
        <v>221771892</v>
      </c>
      <c r="U45" s="30">
        <f>5725902</f>
        <v>5725902</v>
      </c>
      <c r="V45" s="30">
        <f>145178969556</f>
        <v>145178969556</v>
      </c>
      <c r="W45" s="30">
        <f>3481165410</f>
        <v>3481165410</v>
      </c>
      <c r="X45" s="34">
        <f>19</f>
        <v>19</v>
      </c>
    </row>
    <row r="46" spans="1:24">
      <c r="A46" s="25" t="s">
        <v>1109</v>
      </c>
      <c r="B46" s="25" t="s">
        <v>133</v>
      </c>
      <c r="C46" s="25" t="s">
        <v>912</v>
      </c>
      <c r="D46" s="25" t="s">
        <v>913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25810</f>
        <v>25810</v>
      </c>
      <c r="L46" s="32" t="s">
        <v>1110</v>
      </c>
      <c r="M46" s="31">
        <f>29235</f>
        <v>29235</v>
      </c>
      <c r="N46" s="32" t="s">
        <v>1111</v>
      </c>
      <c r="O46" s="31">
        <f>25810</f>
        <v>25810</v>
      </c>
      <c r="P46" s="32" t="s">
        <v>1110</v>
      </c>
      <c r="Q46" s="31">
        <f>28935</f>
        <v>28935</v>
      </c>
      <c r="R46" s="32" t="s">
        <v>883</v>
      </c>
      <c r="S46" s="33">
        <f>27427.89</f>
        <v>27427.89</v>
      </c>
      <c r="T46" s="30">
        <f>5421</f>
        <v>5421</v>
      </c>
      <c r="U46" s="30" t="str">
        <f>"－"</f>
        <v>－</v>
      </c>
      <c r="V46" s="30">
        <f>149441875</f>
        <v>149441875</v>
      </c>
      <c r="W46" s="30" t="str">
        <f>"－"</f>
        <v>－</v>
      </c>
      <c r="X46" s="34">
        <f>19</f>
        <v>19</v>
      </c>
    </row>
    <row r="47" spans="1:24">
      <c r="A47" s="25" t="s">
        <v>1109</v>
      </c>
      <c r="B47" s="25" t="s">
        <v>134</v>
      </c>
      <c r="C47" s="25" t="s">
        <v>914</v>
      </c>
      <c r="D47" s="25" t="s">
        <v>915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3345</f>
        <v>3345</v>
      </c>
      <c r="L47" s="32" t="s">
        <v>1110</v>
      </c>
      <c r="M47" s="31">
        <f>3390</f>
        <v>3390</v>
      </c>
      <c r="N47" s="32" t="s">
        <v>1116</v>
      </c>
      <c r="O47" s="31">
        <f>3175</f>
        <v>3175</v>
      </c>
      <c r="P47" s="32" t="s">
        <v>883</v>
      </c>
      <c r="Q47" s="31">
        <f>3175</f>
        <v>3175</v>
      </c>
      <c r="R47" s="32" t="s">
        <v>883</v>
      </c>
      <c r="S47" s="33">
        <f>3263.46</f>
        <v>3263.46</v>
      </c>
      <c r="T47" s="30">
        <f>139</f>
        <v>139</v>
      </c>
      <c r="U47" s="30" t="str">
        <f>"－"</f>
        <v>－</v>
      </c>
      <c r="V47" s="30">
        <f>459515</f>
        <v>459515</v>
      </c>
      <c r="W47" s="30" t="str">
        <f>"－"</f>
        <v>－</v>
      </c>
      <c r="X47" s="34">
        <f>13</f>
        <v>13</v>
      </c>
    </row>
    <row r="48" spans="1:24">
      <c r="A48" s="25" t="s">
        <v>1109</v>
      </c>
      <c r="B48" s="25" t="s">
        <v>135</v>
      </c>
      <c r="C48" s="25" t="s">
        <v>916</v>
      </c>
      <c r="D48" s="25" t="s">
        <v>917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</v>
      </c>
      <c r="K48" s="31">
        <f>875</f>
        <v>875</v>
      </c>
      <c r="L48" s="32" t="s">
        <v>1110</v>
      </c>
      <c r="M48" s="31">
        <f>876</f>
        <v>876</v>
      </c>
      <c r="N48" s="32" t="s">
        <v>1110</v>
      </c>
      <c r="O48" s="31">
        <f>765</f>
        <v>765</v>
      </c>
      <c r="P48" s="32" t="s">
        <v>1111</v>
      </c>
      <c r="Q48" s="31">
        <f>778</f>
        <v>778</v>
      </c>
      <c r="R48" s="32" t="s">
        <v>883</v>
      </c>
      <c r="S48" s="33">
        <f>822.37</f>
        <v>822.37</v>
      </c>
      <c r="T48" s="30">
        <f>35365</f>
        <v>35365</v>
      </c>
      <c r="U48" s="30" t="str">
        <f>"－"</f>
        <v>－</v>
      </c>
      <c r="V48" s="30">
        <f>28519685</f>
        <v>28519685</v>
      </c>
      <c r="W48" s="30" t="str">
        <f>"－"</f>
        <v>－</v>
      </c>
      <c r="X48" s="34">
        <f>19</f>
        <v>19</v>
      </c>
    </row>
    <row r="49" spans="1:24">
      <c r="A49" s="25" t="s">
        <v>1109</v>
      </c>
      <c r="B49" s="25" t="s">
        <v>136</v>
      </c>
      <c r="C49" s="25" t="s">
        <v>137</v>
      </c>
      <c r="D49" s="25" t="s">
        <v>138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10</v>
      </c>
      <c r="K49" s="31">
        <f>847</f>
        <v>847</v>
      </c>
      <c r="L49" s="32" t="s">
        <v>1110</v>
      </c>
      <c r="M49" s="31">
        <f>850.5</f>
        <v>850.5</v>
      </c>
      <c r="N49" s="32" t="s">
        <v>1110</v>
      </c>
      <c r="O49" s="31">
        <f>750</f>
        <v>750</v>
      </c>
      <c r="P49" s="32" t="s">
        <v>676</v>
      </c>
      <c r="Q49" s="31">
        <f>763.2</f>
        <v>763.2</v>
      </c>
      <c r="R49" s="32" t="s">
        <v>883</v>
      </c>
      <c r="S49" s="33">
        <f>802.88</f>
        <v>802.88</v>
      </c>
      <c r="T49" s="30">
        <f>127310</f>
        <v>127310</v>
      </c>
      <c r="U49" s="30" t="str">
        <f>"－"</f>
        <v>－</v>
      </c>
      <c r="V49" s="30">
        <f>100177048</f>
        <v>100177048</v>
      </c>
      <c r="W49" s="30" t="str">
        <f>"－"</f>
        <v>－</v>
      </c>
      <c r="X49" s="34">
        <f>19</f>
        <v>19</v>
      </c>
    </row>
    <row r="50" spans="1:24">
      <c r="A50" s="25" t="s">
        <v>1109</v>
      </c>
      <c r="B50" s="25" t="s">
        <v>139</v>
      </c>
      <c r="C50" s="25" t="s">
        <v>140</v>
      </c>
      <c r="D50" s="25" t="s">
        <v>141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</v>
      </c>
      <c r="K50" s="31">
        <f>352</f>
        <v>352</v>
      </c>
      <c r="L50" s="32" t="s">
        <v>1110</v>
      </c>
      <c r="M50" s="31">
        <f>353</f>
        <v>353</v>
      </c>
      <c r="N50" s="32" t="s">
        <v>1110</v>
      </c>
      <c r="O50" s="31">
        <f>303</f>
        <v>303</v>
      </c>
      <c r="P50" s="32" t="s">
        <v>1111</v>
      </c>
      <c r="Q50" s="31">
        <f>310</f>
        <v>310</v>
      </c>
      <c r="R50" s="32" t="s">
        <v>883</v>
      </c>
      <c r="S50" s="33">
        <f>328.63</f>
        <v>328.63</v>
      </c>
      <c r="T50" s="30">
        <f>86408</f>
        <v>86408</v>
      </c>
      <c r="U50" s="30" t="str">
        <f>"－"</f>
        <v>－</v>
      </c>
      <c r="V50" s="30">
        <f>28571481</f>
        <v>28571481</v>
      </c>
      <c r="W50" s="30" t="str">
        <f>"－"</f>
        <v>－</v>
      </c>
      <c r="X50" s="34">
        <f>19</f>
        <v>19</v>
      </c>
    </row>
    <row r="51" spans="1:24">
      <c r="A51" s="25" t="s">
        <v>1109</v>
      </c>
      <c r="B51" s="25" t="s">
        <v>142</v>
      </c>
      <c r="C51" s="25" t="s">
        <v>143</v>
      </c>
      <c r="D51" s="25" t="s">
        <v>144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10</v>
      </c>
      <c r="K51" s="31">
        <f>2569</f>
        <v>2569</v>
      </c>
      <c r="L51" s="32" t="s">
        <v>1110</v>
      </c>
      <c r="M51" s="31">
        <f>2742.5</f>
        <v>2742.5</v>
      </c>
      <c r="N51" s="32" t="s">
        <v>883</v>
      </c>
      <c r="O51" s="31">
        <f>2566</f>
        <v>2566</v>
      </c>
      <c r="P51" s="32" t="s">
        <v>1110</v>
      </c>
      <c r="Q51" s="31">
        <f>2742</f>
        <v>2742</v>
      </c>
      <c r="R51" s="32" t="s">
        <v>883</v>
      </c>
      <c r="S51" s="33">
        <f>2645.34</f>
        <v>2645.34</v>
      </c>
      <c r="T51" s="30">
        <f>980760</f>
        <v>980760</v>
      </c>
      <c r="U51" s="30">
        <f>420100</f>
        <v>420100</v>
      </c>
      <c r="V51" s="30">
        <f>2643654678</f>
        <v>2643654678</v>
      </c>
      <c r="W51" s="30">
        <f>1140131343</f>
        <v>1140131343</v>
      </c>
      <c r="X51" s="34">
        <f>19</f>
        <v>19</v>
      </c>
    </row>
    <row r="52" spans="1:24">
      <c r="A52" s="25" t="s">
        <v>1109</v>
      </c>
      <c r="B52" s="25" t="s">
        <v>145</v>
      </c>
      <c r="C52" s="25" t="s">
        <v>146</v>
      </c>
      <c r="D52" s="25" t="s">
        <v>147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23110</f>
        <v>23110</v>
      </c>
      <c r="L52" s="32" t="s">
        <v>1110</v>
      </c>
      <c r="M52" s="31">
        <f>24510</f>
        <v>24510</v>
      </c>
      <c r="N52" s="32" t="s">
        <v>1111</v>
      </c>
      <c r="O52" s="31">
        <f>23105</f>
        <v>23105</v>
      </c>
      <c r="P52" s="32" t="s">
        <v>1115</v>
      </c>
      <c r="Q52" s="31">
        <f>24430</f>
        <v>24430</v>
      </c>
      <c r="R52" s="32" t="s">
        <v>883</v>
      </c>
      <c r="S52" s="33">
        <f>23781.05</f>
        <v>23781.05</v>
      </c>
      <c r="T52" s="30">
        <f>782</f>
        <v>782</v>
      </c>
      <c r="U52" s="30" t="str">
        <f>"－"</f>
        <v>－</v>
      </c>
      <c r="V52" s="30">
        <f>18670345</f>
        <v>18670345</v>
      </c>
      <c r="W52" s="30" t="str">
        <f>"－"</f>
        <v>－</v>
      </c>
      <c r="X52" s="34">
        <f>19</f>
        <v>19</v>
      </c>
    </row>
    <row r="53" spans="1:24">
      <c r="A53" s="25" t="s">
        <v>1109</v>
      </c>
      <c r="B53" s="25" t="s">
        <v>148</v>
      </c>
      <c r="C53" s="25" t="s">
        <v>149</v>
      </c>
      <c r="D53" s="25" t="s">
        <v>150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2619</f>
        <v>2619</v>
      </c>
      <c r="L53" s="32" t="s">
        <v>1110</v>
      </c>
      <c r="M53" s="31">
        <f>2759</f>
        <v>2759</v>
      </c>
      <c r="N53" s="32" t="s">
        <v>1111</v>
      </c>
      <c r="O53" s="31">
        <f>2605</f>
        <v>2605</v>
      </c>
      <c r="P53" s="32" t="s">
        <v>1113</v>
      </c>
      <c r="Q53" s="31">
        <f>2742</f>
        <v>2742</v>
      </c>
      <c r="R53" s="32" t="s">
        <v>883</v>
      </c>
      <c r="S53" s="33">
        <f>2678.16</f>
        <v>2678.16</v>
      </c>
      <c r="T53" s="30">
        <f>7825478</f>
        <v>7825478</v>
      </c>
      <c r="U53" s="30">
        <f>2206776</f>
        <v>2206776</v>
      </c>
      <c r="V53" s="30">
        <f>20894316390</f>
        <v>20894316390</v>
      </c>
      <c r="W53" s="30">
        <f>5869004030</f>
        <v>5869004030</v>
      </c>
      <c r="X53" s="34">
        <f>19</f>
        <v>19</v>
      </c>
    </row>
    <row r="54" spans="1:24">
      <c r="A54" s="25" t="s">
        <v>1109</v>
      </c>
      <c r="B54" s="25" t="s">
        <v>151</v>
      </c>
      <c r="C54" s="25" t="s">
        <v>152</v>
      </c>
      <c r="D54" s="25" t="s">
        <v>153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1865</f>
        <v>1865</v>
      </c>
      <c r="L54" s="32" t="s">
        <v>1110</v>
      </c>
      <c r="M54" s="31">
        <f>1875</f>
        <v>1875</v>
      </c>
      <c r="N54" s="32" t="s">
        <v>674</v>
      </c>
      <c r="O54" s="31">
        <f>1730</f>
        <v>1730</v>
      </c>
      <c r="P54" s="32" t="s">
        <v>874</v>
      </c>
      <c r="Q54" s="31">
        <f>1761</f>
        <v>1761</v>
      </c>
      <c r="R54" s="32" t="s">
        <v>883</v>
      </c>
      <c r="S54" s="33">
        <f>1796.95</f>
        <v>1796.95</v>
      </c>
      <c r="T54" s="30">
        <f>14425450</f>
        <v>14425450</v>
      </c>
      <c r="U54" s="30">
        <f>3486657</f>
        <v>3486657</v>
      </c>
      <c r="V54" s="30">
        <f>25502666600</f>
        <v>25502666600</v>
      </c>
      <c r="W54" s="30">
        <f>6191320044</f>
        <v>6191320044</v>
      </c>
      <c r="X54" s="34">
        <f>19</f>
        <v>19</v>
      </c>
    </row>
    <row r="55" spans="1:24">
      <c r="A55" s="25" t="s">
        <v>1109</v>
      </c>
      <c r="B55" s="25" t="s">
        <v>154</v>
      </c>
      <c r="C55" s="25" t="s">
        <v>155</v>
      </c>
      <c r="D55" s="25" t="s">
        <v>156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2427</f>
        <v>2427</v>
      </c>
      <c r="L55" s="32" t="s">
        <v>1110</v>
      </c>
      <c r="M55" s="31">
        <f>2571</f>
        <v>2571</v>
      </c>
      <c r="N55" s="32" t="s">
        <v>1123</v>
      </c>
      <c r="O55" s="31">
        <f>2403</f>
        <v>2403</v>
      </c>
      <c r="P55" s="32" t="s">
        <v>1113</v>
      </c>
      <c r="Q55" s="31">
        <f>2500</f>
        <v>2500</v>
      </c>
      <c r="R55" s="32" t="s">
        <v>883</v>
      </c>
      <c r="S55" s="33">
        <f>2455.37</f>
        <v>2455.37</v>
      </c>
      <c r="T55" s="30">
        <f>22017</f>
        <v>22017</v>
      </c>
      <c r="U55" s="30">
        <f>6040</f>
        <v>6040</v>
      </c>
      <c r="V55" s="30">
        <f>54223538</f>
        <v>54223538</v>
      </c>
      <c r="W55" s="30">
        <f>15074826</f>
        <v>15074826</v>
      </c>
      <c r="X55" s="34">
        <f>19</f>
        <v>19</v>
      </c>
    </row>
    <row r="56" spans="1:24">
      <c r="A56" s="25" t="s">
        <v>1109</v>
      </c>
      <c r="B56" s="25" t="s">
        <v>157</v>
      </c>
      <c r="C56" s="25" t="s">
        <v>158</v>
      </c>
      <c r="D56" s="25" t="s">
        <v>159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3475</f>
        <v>3475</v>
      </c>
      <c r="L56" s="32" t="s">
        <v>1110</v>
      </c>
      <c r="M56" s="31">
        <f>3540</f>
        <v>3540</v>
      </c>
      <c r="N56" s="32" t="s">
        <v>676</v>
      </c>
      <c r="O56" s="31">
        <f>3375</f>
        <v>3375</v>
      </c>
      <c r="P56" s="32" t="s">
        <v>876</v>
      </c>
      <c r="Q56" s="31">
        <f>3510</f>
        <v>3510</v>
      </c>
      <c r="R56" s="32" t="s">
        <v>883</v>
      </c>
      <c r="S56" s="33">
        <f>3476.05</f>
        <v>3476.05</v>
      </c>
      <c r="T56" s="30">
        <f>1341570</f>
        <v>1341570</v>
      </c>
      <c r="U56" s="30">
        <f>734003</f>
        <v>734003</v>
      </c>
      <c r="V56" s="30">
        <f>4655500521</f>
        <v>4655500521</v>
      </c>
      <c r="W56" s="30">
        <f>2548259571</f>
        <v>2548259571</v>
      </c>
      <c r="X56" s="34">
        <f>19</f>
        <v>19</v>
      </c>
    </row>
    <row r="57" spans="1:24">
      <c r="A57" s="25" t="s">
        <v>1109</v>
      </c>
      <c r="B57" s="25" t="s">
        <v>160</v>
      </c>
      <c r="C57" s="25" t="s">
        <v>918</v>
      </c>
      <c r="D57" s="25" t="s">
        <v>919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32550</f>
        <v>32550</v>
      </c>
      <c r="L57" s="32" t="s">
        <v>1116</v>
      </c>
      <c r="M57" s="31">
        <f>34840</f>
        <v>34840</v>
      </c>
      <c r="N57" s="32" t="s">
        <v>1111</v>
      </c>
      <c r="O57" s="31">
        <f>32500</f>
        <v>32500</v>
      </c>
      <c r="P57" s="32" t="s">
        <v>1116</v>
      </c>
      <c r="Q57" s="31">
        <f>34600</f>
        <v>34600</v>
      </c>
      <c r="R57" s="32" t="s">
        <v>883</v>
      </c>
      <c r="S57" s="33">
        <f>33809.23</f>
        <v>33809.230000000003</v>
      </c>
      <c r="T57" s="30">
        <f>188</f>
        <v>188</v>
      </c>
      <c r="U57" s="30" t="str">
        <f>"－"</f>
        <v>－</v>
      </c>
      <c r="V57" s="30">
        <f>6339630</f>
        <v>6339630</v>
      </c>
      <c r="W57" s="30" t="str">
        <f>"－"</f>
        <v>－</v>
      </c>
      <c r="X57" s="34">
        <f>13</f>
        <v>13</v>
      </c>
    </row>
    <row r="58" spans="1:24">
      <c r="A58" s="25" t="s">
        <v>1109</v>
      </c>
      <c r="B58" s="25" t="s">
        <v>161</v>
      </c>
      <c r="C58" s="25" t="s">
        <v>162</v>
      </c>
      <c r="D58" s="25" t="s">
        <v>163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25605</f>
        <v>25605</v>
      </c>
      <c r="L58" s="32" t="s">
        <v>1116</v>
      </c>
      <c r="M58" s="31">
        <f>27180</f>
        <v>27180</v>
      </c>
      <c r="N58" s="32" t="s">
        <v>676</v>
      </c>
      <c r="O58" s="31">
        <f>25585</f>
        <v>25585</v>
      </c>
      <c r="P58" s="32" t="s">
        <v>1116</v>
      </c>
      <c r="Q58" s="31">
        <f>27130</f>
        <v>27130</v>
      </c>
      <c r="R58" s="32" t="s">
        <v>1111</v>
      </c>
      <c r="S58" s="33">
        <f>26301.15</f>
        <v>26301.15</v>
      </c>
      <c r="T58" s="30">
        <f>225</f>
        <v>225</v>
      </c>
      <c r="U58" s="30" t="str">
        <f>"－"</f>
        <v>－</v>
      </c>
      <c r="V58" s="30">
        <f>5976545</f>
        <v>5976545</v>
      </c>
      <c r="W58" s="30" t="str">
        <f>"－"</f>
        <v>－</v>
      </c>
      <c r="X58" s="34">
        <f>13</f>
        <v>13</v>
      </c>
    </row>
    <row r="59" spans="1:24">
      <c r="A59" s="25" t="s">
        <v>1109</v>
      </c>
      <c r="B59" s="25" t="s">
        <v>164</v>
      </c>
      <c r="C59" s="25" t="s">
        <v>165</v>
      </c>
      <c r="D59" s="25" t="s">
        <v>166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2649</f>
        <v>2649</v>
      </c>
      <c r="L59" s="32" t="s">
        <v>1110</v>
      </c>
      <c r="M59" s="31">
        <f>2739</f>
        <v>2739</v>
      </c>
      <c r="N59" s="32" t="s">
        <v>1111</v>
      </c>
      <c r="O59" s="31">
        <f>2499</f>
        <v>2499</v>
      </c>
      <c r="P59" s="32" t="s">
        <v>674</v>
      </c>
      <c r="Q59" s="31">
        <f>2697</f>
        <v>2697</v>
      </c>
      <c r="R59" s="32" t="s">
        <v>883</v>
      </c>
      <c r="S59" s="33">
        <f>2648.26</f>
        <v>2648.26</v>
      </c>
      <c r="T59" s="30">
        <f>4740</f>
        <v>4740</v>
      </c>
      <c r="U59" s="30" t="str">
        <f>"－"</f>
        <v>－</v>
      </c>
      <c r="V59" s="30">
        <f>12282685</f>
        <v>12282685</v>
      </c>
      <c r="W59" s="30" t="str">
        <f>"－"</f>
        <v>－</v>
      </c>
      <c r="X59" s="34">
        <f>19</f>
        <v>19</v>
      </c>
    </row>
    <row r="60" spans="1:24">
      <c r="A60" s="25" t="s">
        <v>1109</v>
      </c>
      <c r="B60" s="25" t="s">
        <v>167</v>
      </c>
      <c r="C60" s="25" t="s">
        <v>168</v>
      </c>
      <c r="D60" s="25" t="s">
        <v>169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1794</f>
        <v>1794</v>
      </c>
      <c r="L60" s="32" t="s">
        <v>1110</v>
      </c>
      <c r="M60" s="31">
        <f>1800</f>
        <v>1800</v>
      </c>
      <c r="N60" s="32" t="s">
        <v>1116</v>
      </c>
      <c r="O60" s="31">
        <f>1734</f>
        <v>1734</v>
      </c>
      <c r="P60" s="32" t="s">
        <v>874</v>
      </c>
      <c r="Q60" s="31">
        <f>1742</f>
        <v>1742</v>
      </c>
      <c r="R60" s="32" t="s">
        <v>883</v>
      </c>
      <c r="S60" s="33">
        <f>1755.79</f>
        <v>1755.79</v>
      </c>
      <c r="T60" s="30">
        <f>10720465</f>
        <v>10720465</v>
      </c>
      <c r="U60" s="30">
        <f>7144836</f>
        <v>7144836</v>
      </c>
      <c r="V60" s="30">
        <f>18813072828</f>
        <v>18813072828</v>
      </c>
      <c r="W60" s="30">
        <f>12543278337</f>
        <v>12543278337</v>
      </c>
      <c r="X60" s="34">
        <f>19</f>
        <v>19</v>
      </c>
    </row>
    <row r="61" spans="1:24">
      <c r="A61" s="25" t="s">
        <v>1109</v>
      </c>
      <c r="B61" s="25" t="s">
        <v>170</v>
      </c>
      <c r="C61" s="25" t="s">
        <v>171</v>
      </c>
      <c r="D61" s="25" t="s">
        <v>172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</v>
      </c>
      <c r="K61" s="31">
        <f>2640</f>
        <v>2640</v>
      </c>
      <c r="L61" s="32" t="s">
        <v>1110</v>
      </c>
      <c r="M61" s="31">
        <f>2715</f>
        <v>2715</v>
      </c>
      <c r="N61" s="32" t="s">
        <v>1114</v>
      </c>
      <c r="O61" s="31">
        <f>2509</f>
        <v>2509</v>
      </c>
      <c r="P61" s="32" t="s">
        <v>1123</v>
      </c>
      <c r="Q61" s="31">
        <f>2686</f>
        <v>2686</v>
      </c>
      <c r="R61" s="32" t="s">
        <v>883</v>
      </c>
      <c r="S61" s="33">
        <f>2632.33</f>
        <v>2632.33</v>
      </c>
      <c r="T61" s="30">
        <f>2131</f>
        <v>2131</v>
      </c>
      <c r="U61" s="30" t="str">
        <f>"－"</f>
        <v>－</v>
      </c>
      <c r="V61" s="30">
        <f>5639356</f>
        <v>5639356</v>
      </c>
      <c r="W61" s="30" t="str">
        <f>"－"</f>
        <v>－</v>
      </c>
      <c r="X61" s="34">
        <f>18</f>
        <v>18</v>
      </c>
    </row>
    <row r="62" spans="1:24">
      <c r="A62" s="25" t="s">
        <v>1109</v>
      </c>
      <c r="B62" s="25" t="s">
        <v>173</v>
      </c>
      <c r="C62" s="25" t="s">
        <v>174</v>
      </c>
      <c r="D62" s="25" t="s">
        <v>175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10</v>
      </c>
      <c r="K62" s="31">
        <f>2574</f>
        <v>2574</v>
      </c>
      <c r="L62" s="32" t="s">
        <v>1110</v>
      </c>
      <c r="M62" s="31">
        <f>2704</f>
        <v>2704</v>
      </c>
      <c r="N62" s="32" t="s">
        <v>676</v>
      </c>
      <c r="O62" s="31">
        <f>2556</f>
        <v>2556</v>
      </c>
      <c r="P62" s="32" t="s">
        <v>1113</v>
      </c>
      <c r="Q62" s="31">
        <f>2668</f>
        <v>2668</v>
      </c>
      <c r="R62" s="32" t="s">
        <v>883</v>
      </c>
      <c r="S62" s="33">
        <f>2617.08</f>
        <v>2617.08</v>
      </c>
      <c r="T62" s="30">
        <f>45930</f>
        <v>45930</v>
      </c>
      <c r="U62" s="30" t="str">
        <f>"－"</f>
        <v>－</v>
      </c>
      <c r="V62" s="30">
        <f>119384620</f>
        <v>119384620</v>
      </c>
      <c r="W62" s="30" t="str">
        <f>"－"</f>
        <v>－</v>
      </c>
      <c r="X62" s="34">
        <f>19</f>
        <v>19</v>
      </c>
    </row>
    <row r="63" spans="1:24">
      <c r="A63" s="25" t="s">
        <v>1109</v>
      </c>
      <c r="B63" s="25" t="s">
        <v>176</v>
      </c>
      <c r="C63" s="25" t="s">
        <v>177</v>
      </c>
      <c r="D63" s="25" t="s">
        <v>178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38650</f>
        <v>38650</v>
      </c>
      <c r="L63" s="32" t="s">
        <v>1124</v>
      </c>
      <c r="M63" s="31">
        <f>44520</f>
        <v>44520</v>
      </c>
      <c r="N63" s="32" t="s">
        <v>680</v>
      </c>
      <c r="O63" s="31">
        <f>36530</f>
        <v>36530</v>
      </c>
      <c r="P63" s="32" t="s">
        <v>1115</v>
      </c>
      <c r="Q63" s="31">
        <f>37850</f>
        <v>37850</v>
      </c>
      <c r="R63" s="32" t="s">
        <v>1114</v>
      </c>
      <c r="S63" s="33">
        <f>38410</f>
        <v>38410</v>
      </c>
      <c r="T63" s="30">
        <f>63</f>
        <v>63</v>
      </c>
      <c r="U63" s="30" t="str">
        <f>"－"</f>
        <v>－</v>
      </c>
      <c r="V63" s="30">
        <f>2451500</f>
        <v>2451500</v>
      </c>
      <c r="W63" s="30" t="str">
        <f>"－"</f>
        <v>－</v>
      </c>
      <c r="X63" s="34">
        <f>7</f>
        <v>7</v>
      </c>
    </row>
    <row r="64" spans="1:24">
      <c r="A64" s="25" t="s">
        <v>1109</v>
      </c>
      <c r="B64" s="25" t="s">
        <v>179</v>
      </c>
      <c r="C64" s="25" t="s">
        <v>180</v>
      </c>
      <c r="D64" s="25" t="s">
        <v>181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23240</f>
        <v>23240</v>
      </c>
      <c r="L64" s="32" t="s">
        <v>1110</v>
      </c>
      <c r="M64" s="31">
        <f>23305</f>
        <v>23305</v>
      </c>
      <c r="N64" s="32" t="s">
        <v>883</v>
      </c>
      <c r="O64" s="31">
        <f>23110</f>
        <v>23110</v>
      </c>
      <c r="P64" s="32" t="s">
        <v>1115</v>
      </c>
      <c r="Q64" s="31">
        <f>23175</f>
        <v>23175</v>
      </c>
      <c r="R64" s="32" t="s">
        <v>883</v>
      </c>
      <c r="S64" s="33">
        <f>23216.32</f>
        <v>23216.32</v>
      </c>
      <c r="T64" s="30">
        <f>266274</f>
        <v>266274</v>
      </c>
      <c r="U64" s="30">
        <f>244002</f>
        <v>244002</v>
      </c>
      <c r="V64" s="30">
        <f>6195130001</f>
        <v>6195130001</v>
      </c>
      <c r="W64" s="30">
        <f>5678009296</f>
        <v>5678009296</v>
      </c>
      <c r="X64" s="34">
        <f>19</f>
        <v>19</v>
      </c>
    </row>
    <row r="65" spans="1:24">
      <c r="A65" s="25" t="s">
        <v>1109</v>
      </c>
      <c r="B65" s="25" t="s">
        <v>182</v>
      </c>
      <c r="C65" s="25" t="s">
        <v>183</v>
      </c>
      <c r="D65" s="25" t="s">
        <v>184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</v>
      </c>
      <c r="K65" s="31">
        <f>13710</f>
        <v>13710</v>
      </c>
      <c r="L65" s="32" t="s">
        <v>1110</v>
      </c>
      <c r="M65" s="31">
        <f>13810</f>
        <v>13810</v>
      </c>
      <c r="N65" s="32" t="s">
        <v>1116</v>
      </c>
      <c r="O65" s="31">
        <f>13300</f>
        <v>13300</v>
      </c>
      <c r="P65" s="32" t="s">
        <v>874</v>
      </c>
      <c r="Q65" s="31">
        <f>13360</f>
        <v>13360</v>
      </c>
      <c r="R65" s="32" t="s">
        <v>883</v>
      </c>
      <c r="S65" s="33">
        <f>13464.74</f>
        <v>13464.74</v>
      </c>
      <c r="T65" s="30">
        <f>782663</f>
        <v>782663</v>
      </c>
      <c r="U65" s="30">
        <f>689107</f>
        <v>689107</v>
      </c>
      <c r="V65" s="30">
        <f>10472506139</f>
        <v>10472506139</v>
      </c>
      <c r="W65" s="30">
        <f>9215405654</f>
        <v>9215405654</v>
      </c>
      <c r="X65" s="34">
        <f>19</f>
        <v>19</v>
      </c>
    </row>
    <row r="66" spans="1:24">
      <c r="A66" s="25" t="s">
        <v>1109</v>
      </c>
      <c r="B66" s="25" t="s">
        <v>185</v>
      </c>
      <c r="C66" s="25" t="s">
        <v>920</v>
      </c>
      <c r="D66" s="25" t="s">
        <v>921</v>
      </c>
      <c r="E66" s="26" t="s">
        <v>43</v>
      </c>
      <c r="F66" s="27" t="s">
        <v>43</v>
      </c>
      <c r="G66" s="28" t="s">
        <v>43</v>
      </c>
      <c r="H66" s="29"/>
      <c r="I66" s="29" t="s">
        <v>44</v>
      </c>
      <c r="J66" s="30">
        <v>10</v>
      </c>
      <c r="K66" s="31">
        <f>1854.5</f>
        <v>1854.5</v>
      </c>
      <c r="L66" s="32" t="s">
        <v>1110</v>
      </c>
      <c r="M66" s="31">
        <f>1873</f>
        <v>1873</v>
      </c>
      <c r="N66" s="32" t="s">
        <v>674</v>
      </c>
      <c r="O66" s="31">
        <f>1745.5</f>
        <v>1745.5</v>
      </c>
      <c r="P66" s="32" t="s">
        <v>874</v>
      </c>
      <c r="Q66" s="31">
        <f>1775.5</f>
        <v>1775.5</v>
      </c>
      <c r="R66" s="32" t="s">
        <v>883</v>
      </c>
      <c r="S66" s="33">
        <f>1807.29</f>
        <v>1807.29</v>
      </c>
      <c r="T66" s="30">
        <f>4892530</f>
        <v>4892530</v>
      </c>
      <c r="U66" s="30">
        <f>2277600</f>
        <v>2277600</v>
      </c>
      <c r="V66" s="30">
        <f>8789626577</f>
        <v>8789626577</v>
      </c>
      <c r="W66" s="30">
        <f>4074266647</f>
        <v>4074266647</v>
      </c>
      <c r="X66" s="34">
        <f>19</f>
        <v>19</v>
      </c>
    </row>
    <row r="67" spans="1:24">
      <c r="A67" s="25" t="s">
        <v>1109</v>
      </c>
      <c r="B67" s="25" t="s">
        <v>186</v>
      </c>
      <c r="C67" s="25" t="s">
        <v>187</v>
      </c>
      <c r="D67" s="25" t="s">
        <v>188</v>
      </c>
      <c r="E67" s="26" t="s">
        <v>43</v>
      </c>
      <c r="F67" s="27" t="s">
        <v>43</v>
      </c>
      <c r="G67" s="28" t="s">
        <v>43</v>
      </c>
      <c r="H67" s="29"/>
      <c r="I67" s="29" t="s">
        <v>44</v>
      </c>
      <c r="J67" s="30">
        <v>1</v>
      </c>
      <c r="K67" s="31">
        <f>2125</f>
        <v>2125</v>
      </c>
      <c r="L67" s="32" t="s">
        <v>1110</v>
      </c>
      <c r="M67" s="31">
        <f>2232</f>
        <v>2232</v>
      </c>
      <c r="N67" s="32" t="s">
        <v>1111</v>
      </c>
      <c r="O67" s="31">
        <f>2080</f>
        <v>2080</v>
      </c>
      <c r="P67" s="32" t="s">
        <v>876</v>
      </c>
      <c r="Q67" s="31">
        <f>2216</f>
        <v>2216</v>
      </c>
      <c r="R67" s="32" t="s">
        <v>883</v>
      </c>
      <c r="S67" s="33">
        <f>2152.79</f>
        <v>2152.79</v>
      </c>
      <c r="T67" s="30">
        <f>17501944</f>
        <v>17501944</v>
      </c>
      <c r="U67" s="30">
        <f>1759801</f>
        <v>1759801</v>
      </c>
      <c r="V67" s="30">
        <f>37677786491</f>
        <v>37677786491</v>
      </c>
      <c r="W67" s="30">
        <f>3755688826</f>
        <v>3755688826</v>
      </c>
      <c r="X67" s="34">
        <f>19</f>
        <v>19</v>
      </c>
    </row>
    <row r="68" spans="1:24">
      <c r="A68" s="25" t="s">
        <v>1109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7880</f>
        <v>7880</v>
      </c>
      <c r="L68" s="32" t="s">
        <v>1123</v>
      </c>
      <c r="M68" s="31">
        <f>7880</f>
        <v>7880</v>
      </c>
      <c r="N68" s="32" t="s">
        <v>1123</v>
      </c>
      <c r="O68" s="31">
        <f>7730</f>
        <v>7730</v>
      </c>
      <c r="P68" s="32" t="s">
        <v>883</v>
      </c>
      <c r="Q68" s="31">
        <f>7730</f>
        <v>7730</v>
      </c>
      <c r="R68" s="32" t="s">
        <v>883</v>
      </c>
      <c r="S68" s="33">
        <f>7805</f>
        <v>7805</v>
      </c>
      <c r="T68" s="30">
        <f>20</f>
        <v>20</v>
      </c>
      <c r="U68" s="30" t="str">
        <f>"－"</f>
        <v>－</v>
      </c>
      <c r="V68" s="30">
        <f>156100</f>
        <v>156100</v>
      </c>
      <c r="W68" s="30" t="str">
        <f>"－"</f>
        <v>－</v>
      </c>
      <c r="X68" s="34">
        <f>2</f>
        <v>2</v>
      </c>
    </row>
    <row r="69" spans="1:24">
      <c r="A69" s="25" t="s">
        <v>1109</v>
      </c>
      <c r="B69" s="25" t="s">
        <v>192</v>
      </c>
      <c r="C69" s="25" t="s">
        <v>193</v>
      </c>
      <c r="D69" s="25" t="s">
        <v>194</v>
      </c>
      <c r="E69" s="26" t="s">
        <v>43</v>
      </c>
      <c r="F69" s="27" t="s">
        <v>43</v>
      </c>
      <c r="G69" s="28" t="s">
        <v>43</v>
      </c>
      <c r="H69" s="29" t="s">
        <v>240</v>
      </c>
      <c r="I69" s="29" t="s">
        <v>44</v>
      </c>
      <c r="J69" s="30">
        <v>1</v>
      </c>
      <c r="K69" s="31">
        <f>18600</f>
        <v>18600</v>
      </c>
      <c r="L69" s="32" t="s">
        <v>1110</v>
      </c>
      <c r="M69" s="31">
        <f>18860</f>
        <v>18860</v>
      </c>
      <c r="N69" s="32" t="s">
        <v>1110</v>
      </c>
      <c r="O69" s="31">
        <f>17680</f>
        <v>17680</v>
      </c>
      <c r="P69" s="32" t="s">
        <v>1123</v>
      </c>
      <c r="Q69" s="31">
        <f>18700</f>
        <v>18700</v>
      </c>
      <c r="R69" s="32" t="s">
        <v>883</v>
      </c>
      <c r="S69" s="33">
        <f>18488.68</f>
        <v>18488.68</v>
      </c>
      <c r="T69" s="30">
        <f>3632</f>
        <v>3632</v>
      </c>
      <c r="U69" s="30">
        <f>7</f>
        <v>7</v>
      </c>
      <c r="V69" s="30">
        <f>67217805</f>
        <v>67217805</v>
      </c>
      <c r="W69" s="30">
        <f>128185</f>
        <v>128185</v>
      </c>
      <c r="X69" s="34">
        <f>19</f>
        <v>19</v>
      </c>
    </row>
    <row r="70" spans="1:24">
      <c r="A70" s="25" t="s">
        <v>1109</v>
      </c>
      <c r="B70" s="25" t="s">
        <v>195</v>
      </c>
      <c r="C70" s="25" t="s">
        <v>196</v>
      </c>
      <c r="D70" s="25" t="s">
        <v>197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18345</f>
        <v>18345</v>
      </c>
      <c r="L70" s="32" t="s">
        <v>1110</v>
      </c>
      <c r="M70" s="31">
        <f>19400</f>
        <v>19400</v>
      </c>
      <c r="N70" s="32" t="s">
        <v>1114</v>
      </c>
      <c r="O70" s="31">
        <f>18100</f>
        <v>18100</v>
      </c>
      <c r="P70" s="32" t="s">
        <v>1113</v>
      </c>
      <c r="Q70" s="31">
        <f>19295</f>
        <v>19295</v>
      </c>
      <c r="R70" s="32" t="s">
        <v>883</v>
      </c>
      <c r="S70" s="33">
        <f>18571.84</f>
        <v>18571.84</v>
      </c>
      <c r="T70" s="30">
        <f>3739</f>
        <v>3739</v>
      </c>
      <c r="U70" s="30" t="str">
        <f>"－"</f>
        <v>－</v>
      </c>
      <c r="V70" s="30">
        <f>70217085</f>
        <v>70217085</v>
      </c>
      <c r="W70" s="30" t="str">
        <f>"－"</f>
        <v>－</v>
      </c>
      <c r="X70" s="34">
        <f>19</f>
        <v>19</v>
      </c>
    </row>
    <row r="71" spans="1:24">
      <c r="A71" s="25" t="s">
        <v>1109</v>
      </c>
      <c r="B71" s="25" t="s">
        <v>198</v>
      </c>
      <c r="C71" s="25" t="s">
        <v>199</v>
      </c>
      <c r="D71" s="25" t="s">
        <v>200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28120</f>
        <v>28120</v>
      </c>
      <c r="L71" s="32" t="s">
        <v>1110</v>
      </c>
      <c r="M71" s="31">
        <f>29415</f>
        <v>29415</v>
      </c>
      <c r="N71" s="32" t="s">
        <v>676</v>
      </c>
      <c r="O71" s="31">
        <f>27885</f>
        <v>27885</v>
      </c>
      <c r="P71" s="32" t="s">
        <v>1113</v>
      </c>
      <c r="Q71" s="31">
        <f>29070</f>
        <v>29070</v>
      </c>
      <c r="R71" s="32" t="s">
        <v>883</v>
      </c>
      <c r="S71" s="33">
        <f>28536.05</f>
        <v>28536.05</v>
      </c>
      <c r="T71" s="30">
        <f>19349</f>
        <v>19349</v>
      </c>
      <c r="U71" s="30">
        <f>9001</f>
        <v>9001</v>
      </c>
      <c r="V71" s="30">
        <f>546668664</f>
        <v>546668664</v>
      </c>
      <c r="W71" s="30">
        <f>252067464</f>
        <v>252067464</v>
      </c>
      <c r="X71" s="34">
        <f>19</f>
        <v>19</v>
      </c>
    </row>
    <row r="72" spans="1:24">
      <c r="A72" s="25" t="s">
        <v>1109</v>
      </c>
      <c r="B72" s="25" t="s">
        <v>201</v>
      </c>
      <c r="C72" s="25" t="s">
        <v>202</v>
      </c>
      <c r="D72" s="25" t="s">
        <v>203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10</v>
      </c>
      <c r="K72" s="31">
        <f>10295</f>
        <v>10295</v>
      </c>
      <c r="L72" s="32" t="s">
        <v>1110</v>
      </c>
      <c r="M72" s="31">
        <f>10460</f>
        <v>10460</v>
      </c>
      <c r="N72" s="32" t="s">
        <v>1118</v>
      </c>
      <c r="O72" s="31">
        <f>10170</f>
        <v>10170</v>
      </c>
      <c r="P72" s="32" t="s">
        <v>680</v>
      </c>
      <c r="Q72" s="31">
        <f>10360</f>
        <v>10360</v>
      </c>
      <c r="R72" s="32" t="s">
        <v>883</v>
      </c>
      <c r="S72" s="33">
        <f>10328.68</f>
        <v>10328.68</v>
      </c>
      <c r="T72" s="30">
        <f>10480</f>
        <v>10480</v>
      </c>
      <c r="U72" s="30">
        <f>180</f>
        <v>180</v>
      </c>
      <c r="V72" s="30">
        <f>108099750</f>
        <v>108099750</v>
      </c>
      <c r="W72" s="30">
        <f>1858650</f>
        <v>1858650</v>
      </c>
      <c r="X72" s="34">
        <f>19</f>
        <v>19</v>
      </c>
    </row>
    <row r="73" spans="1:24">
      <c r="A73" s="25" t="s">
        <v>1109</v>
      </c>
      <c r="B73" s="25" t="s">
        <v>204</v>
      </c>
      <c r="C73" s="25" t="s">
        <v>205</v>
      </c>
      <c r="D73" s="25" t="s">
        <v>206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1922</f>
        <v>1922</v>
      </c>
      <c r="L73" s="32" t="s">
        <v>1110</v>
      </c>
      <c r="M73" s="31">
        <f>1922</f>
        <v>1922</v>
      </c>
      <c r="N73" s="32" t="s">
        <v>1110</v>
      </c>
      <c r="O73" s="31">
        <f>1854</f>
        <v>1854</v>
      </c>
      <c r="P73" s="32" t="s">
        <v>1117</v>
      </c>
      <c r="Q73" s="31">
        <f>1861</f>
        <v>1861</v>
      </c>
      <c r="R73" s="32" t="s">
        <v>883</v>
      </c>
      <c r="S73" s="33">
        <f>1879</f>
        <v>1879</v>
      </c>
      <c r="T73" s="30">
        <f>1768627</f>
        <v>1768627</v>
      </c>
      <c r="U73" s="30">
        <f>1288670</f>
        <v>1288670</v>
      </c>
      <c r="V73" s="30">
        <f>3346929623</f>
        <v>3346929623</v>
      </c>
      <c r="W73" s="30">
        <f>2443846331</f>
        <v>2443846331</v>
      </c>
      <c r="X73" s="34">
        <f>19</f>
        <v>19</v>
      </c>
    </row>
    <row r="74" spans="1:24">
      <c r="A74" s="25" t="s">
        <v>1109</v>
      </c>
      <c r="B74" s="25" t="s">
        <v>207</v>
      </c>
      <c r="C74" s="25" t="s">
        <v>208</v>
      </c>
      <c r="D74" s="25" t="s">
        <v>209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1894</f>
        <v>1894</v>
      </c>
      <c r="L74" s="32" t="s">
        <v>1110</v>
      </c>
      <c r="M74" s="31">
        <f>1900</f>
        <v>1900</v>
      </c>
      <c r="N74" s="32" t="s">
        <v>1116</v>
      </c>
      <c r="O74" s="31">
        <f>1874</f>
        <v>1874</v>
      </c>
      <c r="P74" s="32" t="s">
        <v>1117</v>
      </c>
      <c r="Q74" s="31">
        <f>1886</f>
        <v>1886</v>
      </c>
      <c r="R74" s="32" t="s">
        <v>883</v>
      </c>
      <c r="S74" s="33">
        <f>1887.63</f>
        <v>1887.63</v>
      </c>
      <c r="T74" s="30">
        <f>511513</f>
        <v>511513</v>
      </c>
      <c r="U74" s="30">
        <f>5</f>
        <v>5</v>
      </c>
      <c r="V74" s="30">
        <f>965172939</f>
        <v>965172939</v>
      </c>
      <c r="W74" s="30">
        <f>8750</f>
        <v>8750</v>
      </c>
      <c r="X74" s="34">
        <f>19</f>
        <v>19</v>
      </c>
    </row>
    <row r="75" spans="1:24">
      <c r="A75" s="25" t="s">
        <v>1109</v>
      </c>
      <c r="B75" s="25" t="s">
        <v>210</v>
      </c>
      <c r="C75" s="25" t="s">
        <v>211</v>
      </c>
      <c r="D75" s="25" t="s">
        <v>212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19815</f>
        <v>19815</v>
      </c>
      <c r="L75" s="32" t="s">
        <v>1110</v>
      </c>
      <c r="M75" s="31">
        <f>21165</f>
        <v>21165</v>
      </c>
      <c r="N75" s="32" t="s">
        <v>1111</v>
      </c>
      <c r="O75" s="31">
        <f>19740</f>
        <v>19740</v>
      </c>
      <c r="P75" s="32" t="s">
        <v>1110</v>
      </c>
      <c r="Q75" s="31">
        <f>21085</f>
        <v>21085</v>
      </c>
      <c r="R75" s="32" t="s">
        <v>883</v>
      </c>
      <c r="S75" s="33">
        <f>20476.05</f>
        <v>20476.05</v>
      </c>
      <c r="T75" s="30">
        <f>5420</f>
        <v>5420</v>
      </c>
      <c r="U75" s="30">
        <f>1</f>
        <v>1</v>
      </c>
      <c r="V75" s="30">
        <f>110025845</f>
        <v>110025845</v>
      </c>
      <c r="W75" s="30">
        <f>19775</f>
        <v>19775</v>
      </c>
      <c r="X75" s="34">
        <f>19</f>
        <v>19</v>
      </c>
    </row>
    <row r="76" spans="1:24">
      <c r="A76" s="25" t="s">
        <v>1109</v>
      </c>
      <c r="B76" s="25" t="s">
        <v>213</v>
      </c>
      <c r="C76" s="25" t="s">
        <v>214</v>
      </c>
      <c r="D76" s="25" t="s">
        <v>215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9474</f>
        <v>9474</v>
      </c>
      <c r="L76" s="32" t="s">
        <v>1110</v>
      </c>
      <c r="M76" s="31">
        <f>9545</f>
        <v>9545</v>
      </c>
      <c r="N76" s="32" t="s">
        <v>874</v>
      </c>
      <c r="O76" s="31">
        <f>9361</f>
        <v>9361</v>
      </c>
      <c r="P76" s="32" t="s">
        <v>1117</v>
      </c>
      <c r="Q76" s="31">
        <f>9490</f>
        <v>9490</v>
      </c>
      <c r="R76" s="32" t="s">
        <v>883</v>
      </c>
      <c r="S76" s="33">
        <f>9500.63</f>
        <v>9500.6299999999992</v>
      </c>
      <c r="T76" s="30">
        <f>2849</f>
        <v>2849</v>
      </c>
      <c r="U76" s="30">
        <f>1</f>
        <v>1</v>
      </c>
      <c r="V76" s="30">
        <f>27042479</f>
        <v>27042479</v>
      </c>
      <c r="W76" s="30">
        <f>9490</f>
        <v>9490</v>
      </c>
      <c r="X76" s="34">
        <f>19</f>
        <v>19</v>
      </c>
    </row>
    <row r="77" spans="1:24">
      <c r="A77" s="25" t="s">
        <v>1109</v>
      </c>
      <c r="B77" s="25" t="s">
        <v>216</v>
      </c>
      <c r="C77" s="25" t="s">
        <v>217</v>
      </c>
      <c r="D77" s="25" t="s">
        <v>218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9127</f>
        <v>9127</v>
      </c>
      <c r="L77" s="32" t="s">
        <v>1110</v>
      </c>
      <c r="M77" s="31">
        <f>9400</f>
        <v>9400</v>
      </c>
      <c r="N77" s="32" t="s">
        <v>883</v>
      </c>
      <c r="O77" s="31">
        <f>9109</f>
        <v>9109</v>
      </c>
      <c r="P77" s="32" t="s">
        <v>1110</v>
      </c>
      <c r="Q77" s="31">
        <f>9297</f>
        <v>9297</v>
      </c>
      <c r="R77" s="32" t="s">
        <v>883</v>
      </c>
      <c r="S77" s="33">
        <f>9213.32</f>
        <v>9213.32</v>
      </c>
      <c r="T77" s="30">
        <f>1827681</f>
        <v>1827681</v>
      </c>
      <c r="U77" s="30">
        <f>233416</f>
        <v>233416</v>
      </c>
      <c r="V77" s="30">
        <f>16830263284</f>
        <v>16830263284</v>
      </c>
      <c r="W77" s="30">
        <f>2146309441</f>
        <v>2146309441</v>
      </c>
      <c r="X77" s="34">
        <f>19</f>
        <v>19</v>
      </c>
    </row>
    <row r="78" spans="1:24">
      <c r="A78" s="25" t="s">
        <v>1109</v>
      </c>
      <c r="B78" s="25" t="s">
        <v>219</v>
      </c>
      <c r="C78" s="25" t="s">
        <v>220</v>
      </c>
      <c r="D78" s="25" t="s">
        <v>221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4000</f>
        <v>4000</v>
      </c>
      <c r="L78" s="32" t="s">
        <v>1110</v>
      </c>
      <c r="M78" s="31">
        <f>4000</f>
        <v>4000</v>
      </c>
      <c r="N78" s="32" t="s">
        <v>1110</v>
      </c>
      <c r="O78" s="31">
        <f>3920</f>
        <v>3920</v>
      </c>
      <c r="P78" s="32" t="s">
        <v>1113</v>
      </c>
      <c r="Q78" s="31">
        <f>3940</f>
        <v>3940</v>
      </c>
      <c r="R78" s="32" t="s">
        <v>883</v>
      </c>
      <c r="S78" s="33">
        <f>3958.95</f>
        <v>3958.95</v>
      </c>
      <c r="T78" s="30">
        <f>502808</f>
        <v>502808</v>
      </c>
      <c r="U78" s="30">
        <f>285</f>
        <v>285</v>
      </c>
      <c r="V78" s="30">
        <f>1989340860</f>
        <v>1989340860</v>
      </c>
      <c r="W78" s="30">
        <f>1128870</f>
        <v>1128870</v>
      </c>
      <c r="X78" s="34">
        <f>19</f>
        <v>19</v>
      </c>
    </row>
    <row r="79" spans="1:24">
      <c r="A79" s="25" t="s">
        <v>1109</v>
      </c>
      <c r="B79" s="25" t="s">
        <v>222</v>
      </c>
      <c r="C79" s="25" t="s">
        <v>223</v>
      </c>
      <c r="D79" s="25" t="s">
        <v>224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9890</f>
        <v>9890</v>
      </c>
      <c r="L79" s="32" t="s">
        <v>1110</v>
      </c>
      <c r="M79" s="31">
        <f>10125</f>
        <v>10125</v>
      </c>
      <c r="N79" s="32" t="s">
        <v>680</v>
      </c>
      <c r="O79" s="31">
        <f>9717</f>
        <v>9717</v>
      </c>
      <c r="P79" s="32" t="s">
        <v>1113</v>
      </c>
      <c r="Q79" s="31">
        <f>9858</f>
        <v>9858</v>
      </c>
      <c r="R79" s="32" t="s">
        <v>883</v>
      </c>
      <c r="S79" s="33">
        <f>9866</f>
        <v>9866</v>
      </c>
      <c r="T79" s="30">
        <f>112521</f>
        <v>112521</v>
      </c>
      <c r="U79" s="30">
        <f>276</f>
        <v>276</v>
      </c>
      <c r="V79" s="30">
        <f>1111059512</f>
        <v>1111059512</v>
      </c>
      <c r="W79" s="30">
        <f>2723490</f>
        <v>2723490</v>
      </c>
      <c r="X79" s="34">
        <f>19</f>
        <v>19</v>
      </c>
    </row>
    <row r="80" spans="1:24">
      <c r="A80" s="25" t="s">
        <v>1109</v>
      </c>
      <c r="B80" s="25" t="s">
        <v>225</v>
      </c>
      <c r="C80" s="25" t="s">
        <v>226</v>
      </c>
      <c r="D80" s="25" t="s">
        <v>227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42760</f>
        <v>42760</v>
      </c>
      <c r="L80" s="32" t="s">
        <v>1110</v>
      </c>
      <c r="M80" s="31">
        <f>43500</f>
        <v>43500</v>
      </c>
      <c r="N80" s="32" t="s">
        <v>676</v>
      </c>
      <c r="O80" s="31">
        <f>39050</f>
        <v>39050</v>
      </c>
      <c r="P80" s="32" t="s">
        <v>1117</v>
      </c>
      <c r="Q80" s="31">
        <f>41700</f>
        <v>41700</v>
      </c>
      <c r="R80" s="32" t="s">
        <v>883</v>
      </c>
      <c r="S80" s="33">
        <f>42010.53</f>
        <v>42010.53</v>
      </c>
      <c r="T80" s="30">
        <f>12738</f>
        <v>12738</v>
      </c>
      <c r="U80" s="30">
        <f>31</f>
        <v>31</v>
      </c>
      <c r="V80" s="30">
        <f>528442730</f>
        <v>528442730</v>
      </c>
      <c r="W80" s="30">
        <f>1219210</f>
        <v>1219210</v>
      </c>
      <c r="X80" s="34">
        <f>19</f>
        <v>19</v>
      </c>
    </row>
    <row r="81" spans="1:24">
      <c r="A81" s="25" t="s">
        <v>1109</v>
      </c>
      <c r="B81" s="25" t="s">
        <v>228</v>
      </c>
      <c r="C81" s="25" t="s">
        <v>779</v>
      </c>
      <c r="D81" s="25" t="s">
        <v>780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25595</f>
        <v>25595</v>
      </c>
      <c r="L81" s="32" t="s">
        <v>1110</v>
      </c>
      <c r="M81" s="31">
        <f>27415</f>
        <v>27415</v>
      </c>
      <c r="N81" s="32" t="s">
        <v>1114</v>
      </c>
      <c r="O81" s="31">
        <f>25545</f>
        <v>25545</v>
      </c>
      <c r="P81" s="32" t="s">
        <v>1110</v>
      </c>
      <c r="Q81" s="31">
        <f>27175</f>
        <v>27175</v>
      </c>
      <c r="R81" s="32" t="s">
        <v>883</v>
      </c>
      <c r="S81" s="33">
        <f>26835</f>
        <v>26835</v>
      </c>
      <c r="T81" s="30">
        <f>1512150</f>
        <v>1512150</v>
      </c>
      <c r="U81" s="30">
        <f>13925</f>
        <v>13925</v>
      </c>
      <c r="V81" s="30">
        <f>40642159457</f>
        <v>40642159457</v>
      </c>
      <c r="W81" s="30">
        <f>377659452</f>
        <v>377659452</v>
      </c>
      <c r="X81" s="34">
        <f>19</f>
        <v>19</v>
      </c>
    </row>
    <row r="82" spans="1:24">
      <c r="A82" s="25" t="s">
        <v>1109</v>
      </c>
      <c r="B82" s="25" t="s">
        <v>229</v>
      </c>
      <c r="C82" s="25" t="s">
        <v>781</v>
      </c>
      <c r="D82" s="25" t="s">
        <v>782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</v>
      </c>
      <c r="K82" s="31">
        <f>54760</f>
        <v>54760</v>
      </c>
      <c r="L82" s="32" t="s">
        <v>1110</v>
      </c>
      <c r="M82" s="31">
        <f>58820</f>
        <v>58820</v>
      </c>
      <c r="N82" s="32" t="s">
        <v>760</v>
      </c>
      <c r="O82" s="31">
        <f>54630</f>
        <v>54630</v>
      </c>
      <c r="P82" s="32" t="s">
        <v>1110</v>
      </c>
      <c r="Q82" s="31">
        <f>57080</f>
        <v>57080</v>
      </c>
      <c r="R82" s="32" t="s">
        <v>883</v>
      </c>
      <c r="S82" s="33">
        <f>56437.89</f>
        <v>56437.89</v>
      </c>
      <c r="T82" s="30">
        <f>51920</f>
        <v>51920</v>
      </c>
      <c r="U82" s="30">
        <f>6346</f>
        <v>6346</v>
      </c>
      <c r="V82" s="30">
        <f>2931563240</f>
        <v>2931563240</v>
      </c>
      <c r="W82" s="30">
        <f>360248730</f>
        <v>360248730</v>
      </c>
      <c r="X82" s="34">
        <f>19</f>
        <v>19</v>
      </c>
    </row>
    <row r="83" spans="1:24">
      <c r="A83" s="25" t="s">
        <v>1109</v>
      </c>
      <c r="B83" s="25" t="s">
        <v>230</v>
      </c>
      <c r="C83" s="25" t="s">
        <v>231</v>
      </c>
      <c r="D83" s="25" t="s">
        <v>232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7742</f>
        <v>7742</v>
      </c>
      <c r="L83" s="32" t="s">
        <v>1110</v>
      </c>
      <c r="M83" s="31">
        <f>8375</f>
        <v>8375</v>
      </c>
      <c r="N83" s="32" t="s">
        <v>680</v>
      </c>
      <c r="O83" s="31">
        <f>7725</f>
        <v>7725</v>
      </c>
      <c r="P83" s="32" t="s">
        <v>1110</v>
      </c>
      <c r="Q83" s="31">
        <f>8266</f>
        <v>8266</v>
      </c>
      <c r="R83" s="32" t="s">
        <v>883</v>
      </c>
      <c r="S83" s="33">
        <f>8104.05</f>
        <v>8104.05</v>
      </c>
      <c r="T83" s="30">
        <f>1142750</f>
        <v>1142750</v>
      </c>
      <c r="U83" s="30">
        <f>70850</f>
        <v>70850</v>
      </c>
      <c r="V83" s="30">
        <f>9243379843</f>
        <v>9243379843</v>
      </c>
      <c r="W83" s="30">
        <f>550113433</f>
        <v>550113433</v>
      </c>
      <c r="X83" s="34">
        <f>19</f>
        <v>19</v>
      </c>
    </row>
    <row r="84" spans="1:24">
      <c r="A84" s="25" t="s">
        <v>1109</v>
      </c>
      <c r="B84" s="25" t="s">
        <v>233</v>
      </c>
      <c r="C84" s="25" t="s">
        <v>234</v>
      </c>
      <c r="D84" s="25" t="s">
        <v>235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4856</f>
        <v>4856</v>
      </c>
      <c r="L84" s="32" t="s">
        <v>1110</v>
      </c>
      <c r="M84" s="31">
        <f>5182</f>
        <v>5182</v>
      </c>
      <c r="N84" s="32" t="s">
        <v>676</v>
      </c>
      <c r="O84" s="31">
        <f>4841</f>
        <v>4841</v>
      </c>
      <c r="P84" s="32" t="s">
        <v>1110</v>
      </c>
      <c r="Q84" s="31">
        <f>5153</f>
        <v>5153</v>
      </c>
      <c r="R84" s="32" t="s">
        <v>883</v>
      </c>
      <c r="S84" s="33">
        <f>5050</f>
        <v>5050</v>
      </c>
      <c r="T84" s="30">
        <f>87350</f>
        <v>87350</v>
      </c>
      <c r="U84" s="30">
        <f>170</f>
        <v>170</v>
      </c>
      <c r="V84" s="30">
        <f>441317360</f>
        <v>441317360</v>
      </c>
      <c r="W84" s="30">
        <f>858670</f>
        <v>858670</v>
      </c>
      <c r="X84" s="34">
        <f>19</f>
        <v>19</v>
      </c>
    </row>
    <row r="85" spans="1:24">
      <c r="A85" s="25" t="s">
        <v>1109</v>
      </c>
      <c r="B85" s="25" t="s">
        <v>236</v>
      </c>
      <c r="C85" s="25" t="s">
        <v>854</v>
      </c>
      <c r="D85" s="25" t="s">
        <v>855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4978</f>
        <v>4978</v>
      </c>
      <c r="L85" s="32" t="s">
        <v>1110</v>
      </c>
      <c r="M85" s="31">
        <f>5127</f>
        <v>5127</v>
      </c>
      <c r="N85" s="32" t="s">
        <v>1124</v>
      </c>
      <c r="O85" s="31">
        <f>4922</f>
        <v>4922</v>
      </c>
      <c r="P85" s="32" t="s">
        <v>875</v>
      </c>
      <c r="Q85" s="31">
        <f>5084</f>
        <v>5084</v>
      </c>
      <c r="R85" s="32" t="s">
        <v>883</v>
      </c>
      <c r="S85" s="33">
        <f>5026.74</f>
        <v>5026.74</v>
      </c>
      <c r="T85" s="30">
        <f>12660</f>
        <v>12660</v>
      </c>
      <c r="U85" s="30" t="str">
        <f>"－"</f>
        <v>－</v>
      </c>
      <c r="V85" s="30">
        <f>63682300</f>
        <v>63682300</v>
      </c>
      <c r="W85" s="30" t="str">
        <f>"－"</f>
        <v>－</v>
      </c>
      <c r="X85" s="34">
        <f>19</f>
        <v>19</v>
      </c>
    </row>
    <row r="86" spans="1:24">
      <c r="A86" s="25" t="s">
        <v>1109</v>
      </c>
      <c r="B86" s="25" t="s">
        <v>237</v>
      </c>
      <c r="C86" s="25" t="s">
        <v>238</v>
      </c>
      <c r="D86" s="25" t="s">
        <v>239</v>
      </c>
      <c r="E86" s="26" t="s">
        <v>1125</v>
      </c>
      <c r="F86" s="27" t="s">
        <v>1126</v>
      </c>
      <c r="G86" s="28" t="s">
        <v>1127</v>
      </c>
      <c r="H86" s="29" t="s">
        <v>761</v>
      </c>
      <c r="I86" s="29"/>
      <c r="J86" s="30">
        <v>1</v>
      </c>
      <c r="K86" s="31">
        <f>389</f>
        <v>389</v>
      </c>
      <c r="L86" s="32" t="s">
        <v>1110</v>
      </c>
      <c r="M86" s="31">
        <f>390</f>
        <v>390</v>
      </c>
      <c r="N86" s="32" t="s">
        <v>1115</v>
      </c>
      <c r="O86" s="31">
        <f>388</f>
        <v>388</v>
      </c>
      <c r="P86" s="32" t="s">
        <v>1110</v>
      </c>
      <c r="Q86" s="31">
        <f>389</f>
        <v>389</v>
      </c>
      <c r="R86" s="32" t="s">
        <v>876</v>
      </c>
      <c r="S86" s="33">
        <f>388.43</f>
        <v>388.43</v>
      </c>
      <c r="T86" s="30">
        <f>9231444</f>
        <v>9231444</v>
      </c>
      <c r="U86" s="30">
        <f>7148</f>
        <v>7148</v>
      </c>
      <c r="V86" s="30">
        <f>3587252650</f>
        <v>3587252650</v>
      </c>
      <c r="W86" s="30">
        <f>2778280</f>
        <v>2778280</v>
      </c>
      <c r="X86" s="34">
        <f>7</f>
        <v>7</v>
      </c>
    </row>
    <row r="87" spans="1:24">
      <c r="A87" s="25" t="s">
        <v>1109</v>
      </c>
      <c r="B87" s="25" t="s">
        <v>241</v>
      </c>
      <c r="C87" s="25" t="s">
        <v>242</v>
      </c>
      <c r="D87" s="25" t="s">
        <v>243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10</v>
      </c>
      <c r="K87" s="31">
        <f>3991</f>
        <v>3991</v>
      </c>
      <c r="L87" s="32" t="s">
        <v>1110</v>
      </c>
      <c r="M87" s="31">
        <f>4263</f>
        <v>4263</v>
      </c>
      <c r="N87" s="32" t="s">
        <v>1114</v>
      </c>
      <c r="O87" s="31">
        <f>3980</f>
        <v>3980</v>
      </c>
      <c r="P87" s="32" t="s">
        <v>1110</v>
      </c>
      <c r="Q87" s="31">
        <f>4234</f>
        <v>4234</v>
      </c>
      <c r="R87" s="32" t="s">
        <v>883</v>
      </c>
      <c r="S87" s="33">
        <f>4152.74</f>
        <v>4152.74</v>
      </c>
      <c r="T87" s="30">
        <f>89290</f>
        <v>89290</v>
      </c>
      <c r="U87" s="30" t="str">
        <f>"－"</f>
        <v>－</v>
      </c>
      <c r="V87" s="30">
        <f>366701960</f>
        <v>366701960</v>
      </c>
      <c r="W87" s="30" t="str">
        <f>"－"</f>
        <v>－</v>
      </c>
      <c r="X87" s="34">
        <f>19</f>
        <v>19</v>
      </c>
    </row>
    <row r="88" spans="1:24">
      <c r="A88" s="25" t="s">
        <v>1109</v>
      </c>
      <c r="B88" s="25" t="s">
        <v>244</v>
      </c>
      <c r="C88" s="25" t="s">
        <v>971</v>
      </c>
      <c r="D88" s="25" t="s">
        <v>245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10</v>
      </c>
      <c r="K88" s="31">
        <f>1938.5</f>
        <v>1938.5</v>
      </c>
      <c r="L88" s="32" t="s">
        <v>1110</v>
      </c>
      <c r="M88" s="31">
        <f>2080</f>
        <v>2080</v>
      </c>
      <c r="N88" s="32" t="s">
        <v>760</v>
      </c>
      <c r="O88" s="31">
        <f>1907</f>
        <v>1907</v>
      </c>
      <c r="P88" s="32" t="s">
        <v>1110</v>
      </c>
      <c r="Q88" s="31">
        <f>2049</f>
        <v>2049</v>
      </c>
      <c r="R88" s="32" t="s">
        <v>883</v>
      </c>
      <c r="S88" s="33">
        <f>2006.82</f>
        <v>2006.82</v>
      </c>
      <c r="T88" s="30">
        <f>140210</f>
        <v>140210</v>
      </c>
      <c r="U88" s="30">
        <f>240</f>
        <v>240</v>
      </c>
      <c r="V88" s="30">
        <f>280964280</f>
        <v>280964280</v>
      </c>
      <c r="W88" s="30">
        <f>476875</f>
        <v>476875</v>
      </c>
      <c r="X88" s="34">
        <f>19</f>
        <v>19</v>
      </c>
    </row>
    <row r="89" spans="1:24">
      <c r="A89" s="25" t="s">
        <v>1109</v>
      </c>
      <c r="B89" s="25" t="s">
        <v>246</v>
      </c>
      <c r="C89" s="25" t="s">
        <v>247</v>
      </c>
      <c r="D89" s="25" t="s">
        <v>248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71170</f>
        <v>71170</v>
      </c>
      <c r="L89" s="32" t="s">
        <v>1110</v>
      </c>
      <c r="M89" s="31">
        <f>76440</f>
        <v>76440</v>
      </c>
      <c r="N89" s="32" t="s">
        <v>676</v>
      </c>
      <c r="O89" s="31">
        <f>71000</f>
        <v>71000</v>
      </c>
      <c r="P89" s="32" t="s">
        <v>1110</v>
      </c>
      <c r="Q89" s="31">
        <f>75920</f>
        <v>75920</v>
      </c>
      <c r="R89" s="32" t="s">
        <v>883</v>
      </c>
      <c r="S89" s="33">
        <f>74468.95</f>
        <v>74468.95</v>
      </c>
      <c r="T89" s="30">
        <f>76980</f>
        <v>76980</v>
      </c>
      <c r="U89" s="30">
        <f>131</f>
        <v>131</v>
      </c>
      <c r="V89" s="30">
        <f>5726724545</f>
        <v>5726724545</v>
      </c>
      <c r="W89" s="30">
        <f>9999845</f>
        <v>9999845</v>
      </c>
      <c r="X89" s="34">
        <f>19</f>
        <v>19</v>
      </c>
    </row>
    <row r="90" spans="1:24">
      <c r="A90" s="25" t="s">
        <v>1109</v>
      </c>
      <c r="B90" s="25" t="s">
        <v>249</v>
      </c>
      <c r="C90" s="25" t="s">
        <v>250</v>
      </c>
      <c r="D90" s="25" t="s">
        <v>251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3275</f>
        <v>3275</v>
      </c>
      <c r="L90" s="32" t="s">
        <v>1110</v>
      </c>
      <c r="M90" s="31">
        <f>3350</f>
        <v>3350</v>
      </c>
      <c r="N90" s="32" t="s">
        <v>760</v>
      </c>
      <c r="O90" s="31">
        <f>3220</f>
        <v>3220</v>
      </c>
      <c r="P90" s="32" t="s">
        <v>680</v>
      </c>
      <c r="Q90" s="31">
        <f>3240</f>
        <v>3240</v>
      </c>
      <c r="R90" s="32" t="s">
        <v>883</v>
      </c>
      <c r="S90" s="33">
        <f>3257.37</f>
        <v>3257.37</v>
      </c>
      <c r="T90" s="30">
        <f>10979</f>
        <v>10979</v>
      </c>
      <c r="U90" s="30" t="str">
        <f>"－"</f>
        <v>－</v>
      </c>
      <c r="V90" s="30">
        <f>35914425</f>
        <v>35914425</v>
      </c>
      <c r="W90" s="30" t="str">
        <f>"－"</f>
        <v>－</v>
      </c>
      <c r="X90" s="34">
        <f>19</f>
        <v>19</v>
      </c>
    </row>
    <row r="91" spans="1:24">
      <c r="A91" s="25" t="s">
        <v>1109</v>
      </c>
      <c r="B91" s="25" t="s">
        <v>252</v>
      </c>
      <c r="C91" s="25" t="s">
        <v>253</v>
      </c>
      <c r="D91" s="25" t="s">
        <v>254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4555</f>
        <v>4555</v>
      </c>
      <c r="L91" s="32" t="s">
        <v>1110</v>
      </c>
      <c r="M91" s="31">
        <f>4870</f>
        <v>4870</v>
      </c>
      <c r="N91" s="32" t="s">
        <v>760</v>
      </c>
      <c r="O91" s="31">
        <f>4460</f>
        <v>4460</v>
      </c>
      <c r="P91" s="32" t="s">
        <v>1124</v>
      </c>
      <c r="Q91" s="31">
        <f>4690</f>
        <v>4690</v>
      </c>
      <c r="R91" s="32" t="s">
        <v>883</v>
      </c>
      <c r="S91" s="33">
        <f>4639.47</f>
        <v>4639.47</v>
      </c>
      <c r="T91" s="30">
        <f>14260</f>
        <v>14260</v>
      </c>
      <c r="U91" s="30" t="str">
        <f>"－"</f>
        <v>－</v>
      </c>
      <c r="V91" s="30">
        <f>66362875</f>
        <v>66362875</v>
      </c>
      <c r="W91" s="30" t="str">
        <f>"－"</f>
        <v>－</v>
      </c>
      <c r="X91" s="34">
        <f>19</f>
        <v>19</v>
      </c>
    </row>
    <row r="92" spans="1:24">
      <c r="A92" s="25" t="s">
        <v>1109</v>
      </c>
      <c r="B92" s="25" t="s">
        <v>255</v>
      </c>
      <c r="C92" s="25" t="s">
        <v>856</v>
      </c>
      <c r="D92" s="25" t="s">
        <v>857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</v>
      </c>
      <c r="K92" s="31">
        <f>2548</f>
        <v>2548</v>
      </c>
      <c r="L92" s="32" t="s">
        <v>1110</v>
      </c>
      <c r="M92" s="31">
        <f>2923</f>
        <v>2923</v>
      </c>
      <c r="N92" s="32" t="s">
        <v>680</v>
      </c>
      <c r="O92" s="31">
        <f>2526</f>
        <v>2526</v>
      </c>
      <c r="P92" s="32" t="s">
        <v>1115</v>
      </c>
      <c r="Q92" s="31">
        <f>2830</f>
        <v>2830</v>
      </c>
      <c r="R92" s="32" t="s">
        <v>883</v>
      </c>
      <c r="S92" s="33">
        <f>2690.16</f>
        <v>2690.16</v>
      </c>
      <c r="T92" s="30">
        <f>2220916</f>
        <v>2220916</v>
      </c>
      <c r="U92" s="30">
        <f>72642</f>
        <v>72642</v>
      </c>
      <c r="V92" s="30">
        <f>6053983519</f>
        <v>6053983519</v>
      </c>
      <c r="W92" s="30">
        <f>202073433</f>
        <v>202073433</v>
      </c>
      <c r="X92" s="34">
        <f>19</f>
        <v>19</v>
      </c>
    </row>
    <row r="93" spans="1:24">
      <c r="A93" s="25" t="s">
        <v>1109</v>
      </c>
      <c r="B93" s="25" t="s">
        <v>256</v>
      </c>
      <c r="C93" s="25" t="s">
        <v>257</v>
      </c>
      <c r="D93" s="25" t="s">
        <v>258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</v>
      </c>
      <c r="K93" s="31">
        <f>48680</f>
        <v>48680</v>
      </c>
      <c r="L93" s="32" t="s">
        <v>1110</v>
      </c>
      <c r="M93" s="31">
        <f>49740</f>
        <v>49740</v>
      </c>
      <c r="N93" s="32" t="s">
        <v>874</v>
      </c>
      <c r="O93" s="31">
        <f>48530</f>
        <v>48530</v>
      </c>
      <c r="P93" s="32" t="s">
        <v>1110</v>
      </c>
      <c r="Q93" s="31">
        <f>49560</f>
        <v>49560</v>
      </c>
      <c r="R93" s="32" t="s">
        <v>883</v>
      </c>
      <c r="S93" s="33">
        <f>49274.74</f>
        <v>49274.74</v>
      </c>
      <c r="T93" s="30">
        <f>11949</f>
        <v>11949</v>
      </c>
      <c r="U93" s="30">
        <f>2583</f>
        <v>2583</v>
      </c>
      <c r="V93" s="30">
        <f>587553049</f>
        <v>587553049</v>
      </c>
      <c r="W93" s="30">
        <f>126221879</f>
        <v>126221879</v>
      </c>
      <c r="X93" s="34">
        <f>19</f>
        <v>19</v>
      </c>
    </row>
    <row r="94" spans="1:24">
      <c r="A94" s="25" t="s">
        <v>1109</v>
      </c>
      <c r="B94" s="25" t="s">
        <v>259</v>
      </c>
      <c r="C94" s="25" t="s">
        <v>260</v>
      </c>
      <c r="D94" s="25" t="s">
        <v>261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41630</f>
        <v>41630</v>
      </c>
      <c r="L94" s="32" t="s">
        <v>1110</v>
      </c>
      <c r="M94" s="31">
        <f>47000</f>
        <v>47000</v>
      </c>
      <c r="N94" s="32" t="s">
        <v>1111</v>
      </c>
      <c r="O94" s="31">
        <f>41450</f>
        <v>41450</v>
      </c>
      <c r="P94" s="32" t="s">
        <v>1110</v>
      </c>
      <c r="Q94" s="31">
        <f>46420</f>
        <v>46420</v>
      </c>
      <c r="R94" s="32" t="s">
        <v>883</v>
      </c>
      <c r="S94" s="33">
        <f>44105.26</f>
        <v>44105.26</v>
      </c>
      <c r="T94" s="30">
        <f>1718570</f>
        <v>1718570</v>
      </c>
      <c r="U94" s="30" t="str">
        <f>"－"</f>
        <v>－</v>
      </c>
      <c r="V94" s="30">
        <f>76129700000</f>
        <v>76129700000</v>
      </c>
      <c r="W94" s="30" t="str">
        <f>"－"</f>
        <v>－</v>
      </c>
      <c r="X94" s="34">
        <f>19</f>
        <v>19</v>
      </c>
    </row>
    <row r="95" spans="1:24">
      <c r="A95" s="25" t="s">
        <v>1109</v>
      </c>
      <c r="B95" s="25" t="s">
        <v>262</v>
      </c>
      <c r="C95" s="25" t="s">
        <v>263</v>
      </c>
      <c r="D95" s="25" t="s">
        <v>264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10</v>
      </c>
      <c r="K95" s="31">
        <f>1461.5</f>
        <v>1461.5</v>
      </c>
      <c r="L95" s="32" t="s">
        <v>1110</v>
      </c>
      <c r="M95" s="31">
        <f>1461.5</f>
        <v>1461.5</v>
      </c>
      <c r="N95" s="32" t="s">
        <v>1110</v>
      </c>
      <c r="O95" s="31">
        <f>1370</f>
        <v>1370</v>
      </c>
      <c r="P95" s="32" t="s">
        <v>1111</v>
      </c>
      <c r="Q95" s="31">
        <f>1379.5</f>
        <v>1379.5</v>
      </c>
      <c r="R95" s="32" t="s">
        <v>883</v>
      </c>
      <c r="S95" s="33">
        <f>1417.95</f>
        <v>1417.95</v>
      </c>
      <c r="T95" s="30">
        <f>517470</f>
        <v>517470</v>
      </c>
      <c r="U95" s="30">
        <f>500</f>
        <v>500</v>
      </c>
      <c r="V95" s="30">
        <f>733881925</f>
        <v>733881925</v>
      </c>
      <c r="W95" s="30">
        <f>729000</f>
        <v>729000</v>
      </c>
      <c r="X95" s="34">
        <f>19</f>
        <v>19</v>
      </c>
    </row>
    <row r="96" spans="1:24">
      <c r="A96" s="25" t="s">
        <v>1109</v>
      </c>
      <c r="B96" s="25" t="s">
        <v>265</v>
      </c>
      <c r="C96" s="25" t="s">
        <v>266</v>
      </c>
      <c r="D96" s="25" t="s">
        <v>267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24295</f>
        <v>24295</v>
      </c>
      <c r="L96" s="32" t="s">
        <v>1110</v>
      </c>
      <c r="M96" s="31">
        <f>29125</f>
        <v>29125</v>
      </c>
      <c r="N96" s="32" t="s">
        <v>676</v>
      </c>
      <c r="O96" s="31">
        <f>24140</f>
        <v>24140</v>
      </c>
      <c r="P96" s="32" t="s">
        <v>1115</v>
      </c>
      <c r="Q96" s="31">
        <f>28805</f>
        <v>28805</v>
      </c>
      <c r="R96" s="32" t="s">
        <v>883</v>
      </c>
      <c r="S96" s="33">
        <f>26829.74</f>
        <v>26829.74</v>
      </c>
      <c r="T96" s="30">
        <f>114817558</f>
        <v>114817558</v>
      </c>
      <c r="U96" s="30">
        <f>1307159</f>
        <v>1307159</v>
      </c>
      <c r="V96" s="30">
        <f>3067926257038</f>
        <v>3067926257038</v>
      </c>
      <c r="W96" s="30">
        <f>34222025313</f>
        <v>34222025313</v>
      </c>
      <c r="X96" s="34">
        <f>19</f>
        <v>19</v>
      </c>
    </row>
    <row r="97" spans="1:24">
      <c r="A97" s="25" t="s">
        <v>1109</v>
      </c>
      <c r="B97" s="25" t="s">
        <v>268</v>
      </c>
      <c r="C97" s="25" t="s">
        <v>269</v>
      </c>
      <c r="D97" s="25" t="s">
        <v>270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</v>
      </c>
      <c r="K97" s="31">
        <f>688</f>
        <v>688</v>
      </c>
      <c r="L97" s="32" t="s">
        <v>1110</v>
      </c>
      <c r="M97" s="31">
        <f>690</f>
        <v>690</v>
      </c>
      <c r="N97" s="32" t="s">
        <v>1115</v>
      </c>
      <c r="O97" s="31">
        <f>626</f>
        <v>626</v>
      </c>
      <c r="P97" s="32" t="s">
        <v>676</v>
      </c>
      <c r="Q97" s="31">
        <f>630</f>
        <v>630</v>
      </c>
      <c r="R97" s="32" t="s">
        <v>883</v>
      </c>
      <c r="S97" s="33">
        <f>654.26</f>
        <v>654.26</v>
      </c>
      <c r="T97" s="30">
        <f>79857056</f>
        <v>79857056</v>
      </c>
      <c r="U97" s="30">
        <f>12030699</f>
        <v>12030699</v>
      </c>
      <c r="V97" s="30">
        <f>52136317752</f>
        <v>52136317752</v>
      </c>
      <c r="W97" s="30">
        <f>7756276086</f>
        <v>7756276086</v>
      </c>
      <c r="X97" s="34">
        <f>19</f>
        <v>19</v>
      </c>
    </row>
    <row r="98" spans="1:24">
      <c r="A98" s="25" t="s">
        <v>1109</v>
      </c>
      <c r="B98" s="25" t="s">
        <v>271</v>
      </c>
      <c r="C98" s="25" t="s">
        <v>272</v>
      </c>
      <c r="D98" s="25" t="s">
        <v>273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2875.5</f>
        <v>2875.5</v>
      </c>
      <c r="L98" s="32" t="s">
        <v>1110</v>
      </c>
      <c r="M98" s="31">
        <f>3615</f>
        <v>3615</v>
      </c>
      <c r="N98" s="32" t="s">
        <v>1114</v>
      </c>
      <c r="O98" s="31">
        <f>2800.5</f>
        <v>2800.5</v>
      </c>
      <c r="P98" s="32" t="s">
        <v>674</v>
      </c>
      <c r="Q98" s="31">
        <f>3406</f>
        <v>3406</v>
      </c>
      <c r="R98" s="32" t="s">
        <v>883</v>
      </c>
      <c r="S98" s="33">
        <f>3205.95</f>
        <v>3205.95</v>
      </c>
      <c r="T98" s="30">
        <f>967860</f>
        <v>967860</v>
      </c>
      <c r="U98" s="30">
        <f>20</f>
        <v>20</v>
      </c>
      <c r="V98" s="30">
        <f>3104900970</f>
        <v>3104900970</v>
      </c>
      <c r="W98" s="30">
        <f>62300</f>
        <v>62300</v>
      </c>
      <c r="X98" s="34">
        <f>19</f>
        <v>19</v>
      </c>
    </row>
    <row r="99" spans="1:24">
      <c r="A99" s="25" t="s">
        <v>1109</v>
      </c>
      <c r="B99" s="25" t="s">
        <v>274</v>
      </c>
      <c r="C99" s="25" t="s">
        <v>275</v>
      </c>
      <c r="D99" s="25" t="s">
        <v>276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10</v>
      </c>
      <c r="K99" s="31">
        <f>14315</f>
        <v>14315</v>
      </c>
      <c r="L99" s="32" t="s">
        <v>1110</v>
      </c>
      <c r="M99" s="31">
        <f>14645</f>
        <v>14645</v>
      </c>
      <c r="N99" s="32" t="s">
        <v>674</v>
      </c>
      <c r="O99" s="31">
        <f>12890</f>
        <v>12890</v>
      </c>
      <c r="P99" s="32" t="s">
        <v>1114</v>
      </c>
      <c r="Q99" s="31">
        <f>13265</f>
        <v>13265</v>
      </c>
      <c r="R99" s="32" t="s">
        <v>883</v>
      </c>
      <c r="S99" s="33">
        <f>13723.68</f>
        <v>13723.68</v>
      </c>
      <c r="T99" s="30">
        <f>102890</f>
        <v>102890</v>
      </c>
      <c r="U99" s="30">
        <f>140</f>
        <v>140</v>
      </c>
      <c r="V99" s="30">
        <f>1421420500</f>
        <v>1421420500</v>
      </c>
      <c r="W99" s="30">
        <f>1977150</f>
        <v>1977150</v>
      </c>
      <c r="X99" s="34">
        <f>19</f>
        <v>19</v>
      </c>
    </row>
    <row r="100" spans="1:24">
      <c r="A100" s="25" t="s">
        <v>1109</v>
      </c>
      <c r="B100" s="25" t="s">
        <v>277</v>
      </c>
      <c r="C100" s="25" t="s">
        <v>278</v>
      </c>
      <c r="D100" s="25" t="s">
        <v>972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34530</f>
        <v>34530</v>
      </c>
      <c r="L100" s="32" t="s">
        <v>1110</v>
      </c>
      <c r="M100" s="31">
        <f>35880</f>
        <v>35880</v>
      </c>
      <c r="N100" s="32" t="s">
        <v>1111</v>
      </c>
      <c r="O100" s="31">
        <f>34070</f>
        <v>34070</v>
      </c>
      <c r="P100" s="32" t="s">
        <v>1115</v>
      </c>
      <c r="Q100" s="31">
        <f>35630</f>
        <v>35630</v>
      </c>
      <c r="R100" s="32" t="s">
        <v>883</v>
      </c>
      <c r="S100" s="33">
        <f>34884.74</f>
        <v>34884.74</v>
      </c>
      <c r="T100" s="30">
        <f>127963</f>
        <v>127963</v>
      </c>
      <c r="U100" s="30">
        <f>61773</f>
        <v>61773</v>
      </c>
      <c r="V100" s="30">
        <f>4460256396</f>
        <v>4460256396</v>
      </c>
      <c r="W100" s="30">
        <f>2157919526</f>
        <v>2157919526</v>
      </c>
      <c r="X100" s="34">
        <f>19</f>
        <v>19</v>
      </c>
    </row>
    <row r="101" spans="1:24">
      <c r="A101" s="25" t="s">
        <v>1109</v>
      </c>
      <c r="B101" s="25" t="s">
        <v>279</v>
      </c>
      <c r="C101" s="25" t="s">
        <v>280</v>
      </c>
      <c r="D101" s="25" t="s">
        <v>281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</v>
      </c>
      <c r="K101" s="31">
        <f>2865</f>
        <v>2865</v>
      </c>
      <c r="L101" s="32" t="s">
        <v>1110</v>
      </c>
      <c r="M101" s="31">
        <f>3140</f>
        <v>3140</v>
      </c>
      <c r="N101" s="32" t="s">
        <v>676</v>
      </c>
      <c r="O101" s="31">
        <f>2855</f>
        <v>2855</v>
      </c>
      <c r="P101" s="32" t="s">
        <v>1115</v>
      </c>
      <c r="Q101" s="31">
        <f>3125</f>
        <v>3125</v>
      </c>
      <c r="R101" s="32" t="s">
        <v>883</v>
      </c>
      <c r="S101" s="33">
        <f>3010.32</f>
        <v>3010.32</v>
      </c>
      <c r="T101" s="30">
        <f>120195</f>
        <v>120195</v>
      </c>
      <c r="U101" s="30">
        <f>4</f>
        <v>4</v>
      </c>
      <c r="V101" s="30">
        <f>363857543</f>
        <v>363857543</v>
      </c>
      <c r="W101" s="30">
        <f>12330</f>
        <v>12330</v>
      </c>
      <c r="X101" s="34">
        <f>19</f>
        <v>19</v>
      </c>
    </row>
    <row r="102" spans="1:24">
      <c r="A102" s="25" t="s">
        <v>1109</v>
      </c>
      <c r="B102" s="25" t="s">
        <v>282</v>
      </c>
      <c r="C102" s="25" t="s">
        <v>283</v>
      </c>
      <c r="D102" s="25" t="s">
        <v>284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25975</f>
        <v>25975</v>
      </c>
      <c r="L102" s="32" t="s">
        <v>1110</v>
      </c>
      <c r="M102" s="31">
        <f>31140</f>
        <v>31140</v>
      </c>
      <c r="N102" s="32" t="s">
        <v>676</v>
      </c>
      <c r="O102" s="31">
        <f>25810</f>
        <v>25810</v>
      </c>
      <c r="P102" s="32" t="s">
        <v>1115</v>
      </c>
      <c r="Q102" s="31">
        <f>30790</f>
        <v>30790</v>
      </c>
      <c r="R102" s="32" t="s">
        <v>883</v>
      </c>
      <c r="S102" s="33">
        <f>28689.74</f>
        <v>28689.74</v>
      </c>
      <c r="T102" s="30">
        <f>8883140</f>
        <v>8883140</v>
      </c>
      <c r="U102" s="30">
        <f>11060</f>
        <v>11060</v>
      </c>
      <c r="V102" s="30">
        <f>252681764730</f>
        <v>252681764730</v>
      </c>
      <c r="W102" s="30">
        <f>290976030</f>
        <v>290976030</v>
      </c>
      <c r="X102" s="34">
        <f>19</f>
        <v>19</v>
      </c>
    </row>
    <row r="103" spans="1:24">
      <c r="A103" s="25" t="s">
        <v>1109</v>
      </c>
      <c r="B103" s="25" t="s">
        <v>285</v>
      </c>
      <c r="C103" s="25" t="s">
        <v>286</v>
      </c>
      <c r="D103" s="25" t="s">
        <v>287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1827.5</f>
        <v>1827.5</v>
      </c>
      <c r="L103" s="32" t="s">
        <v>1110</v>
      </c>
      <c r="M103" s="31">
        <f>1832</f>
        <v>1832</v>
      </c>
      <c r="N103" s="32" t="s">
        <v>1115</v>
      </c>
      <c r="O103" s="31">
        <f>1661</f>
        <v>1661</v>
      </c>
      <c r="P103" s="32" t="s">
        <v>676</v>
      </c>
      <c r="Q103" s="31">
        <f>1669.5</f>
        <v>1669.5</v>
      </c>
      <c r="R103" s="32" t="s">
        <v>883</v>
      </c>
      <c r="S103" s="33">
        <f>1736.34</f>
        <v>1736.34</v>
      </c>
      <c r="T103" s="30">
        <f>2607140</f>
        <v>2607140</v>
      </c>
      <c r="U103" s="30">
        <f>240230</f>
        <v>240230</v>
      </c>
      <c r="V103" s="30">
        <f>4509588795</f>
        <v>4509588795</v>
      </c>
      <c r="W103" s="30">
        <f>413374745</f>
        <v>413374745</v>
      </c>
      <c r="X103" s="34">
        <f>19</f>
        <v>19</v>
      </c>
    </row>
    <row r="104" spans="1:24">
      <c r="A104" s="25" t="s">
        <v>1109</v>
      </c>
      <c r="B104" s="25" t="s">
        <v>288</v>
      </c>
      <c r="C104" s="25" t="s">
        <v>922</v>
      </c>
      <c r="D104" s="25" t="s">
        <v>923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10</v>
      </c>
      <c r="K104" s="31">
        <f>1765.5</f>
        <v>1765.5</v>
      </c>
      <c r="L104" s="32" t="s">
        <v>1110</v>
      </c>
      <c r="M104" s="31">
        <f>1921</f>
        <v>1921</v>
      </c>
      <c r="N104" s="32" t="s">
        <v>875</v>
      </c>
      <c r="O104" s="31">
        <f>1765.5</f>
        <v>1765.5</v>
      </c>
      <c r="P104" s="32" t="s">
        <v>1110</v>
      </c>
      <c r="Q104" s="31">
        <f>1855.5</f>
        <v>1855.5</v>
      </c>
      <c r="R104" s="32" t="s">
        <v>883</v>
      </c>
      <c r="S104" s="33">
        <f>1816.58</f>
        <v>1816.58</v>
      </c>
      <c r="T104" s="30">
        <f>36290</f>
        <v>36290</v>
      </c>
      <c r="U104" s="30">
        <f>360</f>
        <v>360</v>
      </c>
      <c r="V104" s="30">
        <f>66238805</f>
        <v>66238805</v>
      </c>
      <c r="W104" s="30">
        <f>651380</f>
        <v>651380</v>
      </c>
      <c r="X104" s="34">
        <f>19</f>
        <v>19</v>
      </c>
    </row>
    <row r="105" spans="1:24">
      <c r="A105" s="25" t="s">
        <v>1109</v>
      </c>
      <c r="B105" s="25" t="s">
        <v>289</v>
      </c>
      <c r="C105" s="25" t="s">
        <v>290</v>
      </c>
      <c r="D105" s="25" t="s">
        <v>291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2049</f>
        <v>2049</v>
      </c>
      <c r="L105" s="32" t="s">
        <v>1110</v>
      </c>
      <c r="M105" s="31">
        <f>2423</f>
        <v>2423</v>
      </c>
      <c r="N105" s="32" t="s">
        <v>1116</v>
      </c>
      <c r="O105" s="31">
        <f>2001</f>
        <v>2001</v>
      </c>
      <c r="P105" s="32" t="s">
        <v>1116</v>
      </c>
      <c r="Q105" s="31">
        <f>2180</f>
        <v>2180</v>
      </c>
      <c r="R105" s="32" t="s">
        <v>883</v>
      </c>
      <c r="S105" s="33">
        <f>2140.11</f>
        <v>2140.11</v>
      </c>
      <c r="T105" s="30">
        <f>12505</f>
        <v>12505</v>
      </c>
      <c r="U105" s="30">
        <f>12</f>
        <v>12</v>
      </c>
      <c r="V105" s="30">
        <f>27154310</f>
        <v>27154310</v>
      </c>
      <c r="W105" s="30">
        <f>24739</f>
        <v>24739</v>
      </c>
      <c r="X105" s="34">
        <f>19</f>
        <v>19</v>
      </c>
    </row>
    <row r="106" spans="1:24">
      <c r="A106" s="25" t="s">
        <v>1109</v>
      </c>
      <c r="B106" s="25" t="s">
        <v>292</v>
      </c>
      <c r="C106" s="25" t="s">
        <v>293</v>
      </c>
      <c r="D106" s="25" t="s">
        <v>294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22995</f>
        <v>22995</v>
      </c>
      <c r="L106" s="32" t="s">
        <v>1110</v>
      </c>
      <c r="M106" s="31">
        <f>24450</f>
        <v>24450</v>
      </c>
      <c r="N106" s="32" t="s">
        <v>1111</v>
      </c>
      <c r="O106" s="31">
        <f>22920</f>
        <v>22920</v>
      </c>
      <c r="P106" s="32" t="s">
        <v>1115</v>
      </c>
      <c r="Q106" s="31">
        <f>24255</f>
        <v>24255</v>
      </c>
      <c r="R106" s="32" t="s">
        <v>883</v>
      </c>
      <c r="S106" s="33">
        <f>23650.26</f>
        <v>23650.26</v>
      </c>
      <c r="T106" s="30">
        <f>107887</f>
        <v>107887</v>
      </c>
      <c r="U106" s="30">
        <f>60800</f>
        <v>60800</v>
      </c>
      <c r="V106" s="30">
        <f>2560715520</f>
        <v>2560715520</v>
      </c>
      <c r="W106" s="30">
        <f>1454092580</f>
        <v>1454092580</v>
      </c>
      <c r="X106" s="34">
        <f>19</f>
        <v>19</v>
      </c>
    </row>
    <row r="107" spans="1:24">
      <c r="A107" s="25" t="s">
        <v>1109</v>
      </c>
      <c r="B107" s="25" t="s">
        <v>295</v>
      </c>
      <c r="C107" s="25" t="s">
        <v>296</v>
      </c>
      <c r="D107" s="25" t="s">
        <v>297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2101</f>
        <v>2101</v>
      </c>
      <c r="L107" s="32" t="s">
        <v>1110</v>
      </c>
      <c r="M107" s="31">
        <f>2233</f>
        <v>2233</v>
      </c>
      <c r="N107" s="32" t="s">
        <v>1111</v>
      </c>
      <c r="O107" s="31">
        <f>2096</f>
        <v>2096</v>
      </c>
      <c r="P107" s="32" t="s">
        <v>1110</v>
      </c>
      <c r="Q107" s="31">
        <f>2223</f>
        <v>2223</v>
      </c>
      <c r="R107" s="32" t="s">
        <v>883</v>
      </c>
      <c r="S107" s="33">
        <f>2161.37</f>
        <v>2161.37</v>
      </c>
      <c r="T107" s="30">
        <f>64938</f>
        <v>64938</v>
      </c>
      <c r="U107" s="30" t="str">
        <f>"－"</f>
        <v>－</v>
      </c>
      <c r="V107" s="30">
        <f>140618251</f>
        <v>140618251</v>
      </c>
      <c r="W107" s="30" t="str">
        <f>"－"</f>
        <v>－</v>
      </c>
      <c r="X107" s="34">
        <f>19</f>
        <v>19</v>
      </c>
    </row>
    <row r="108" spans="1:24">
      <c r="A108" s="25" t="s">
        <v>1109</v>
      </c>
      <c r="B108" s="25" t="s">
        <v>298</v>
      </c>
      <c r="C108" s="25" t="s">
        <v>299</v>
      </c>
      <c r="D108" s="25" t="s">
        <v>300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</v>
      </c>
      <c r="K108" s="31">
        <f>23500</f>
        <v>23500</v>
      </c>
      <c r="L108" s="32" t="s">
        <v>1110</v>
      </c>
      <c r="M108" s="31">
        <f>24950</f>
        <v>24950</v>
      </c>
      <c r="N108" s="32" t="s">
        <v>1111</v>
      </c>
      <c r="O108" s="31">
        <f>23430</f>
        <v>23430</v>
      </c>
      <c r="P108" s="32" t="s">
        <v>1115</v>
      </c>
      <c r="Q108" s="31">
        <f>24825</f>
        <v>24825</v>
      </c>
      <c r="R108" s="32" t="s">
        <v>883</v>
      </c>
      <c r="S108" s="33">
        <f>24154.47</f>
        <v>24154.47</v>
      </c>
      <c r="T108" s="30">
        <f>34783</f>
        <v>34783</v>
      </c>
      <c r="U108" s="30">
        <f>5820</f>
        <v>5820</v>
      </c>
      <c r="V108" s="30">
        <f>837326367</f>
        <v>837326367</v>
      </c>
      <c r="W108" s="30">
        <f>137283402</f>
        <v>137283402</v>
      </c>
      <c r="X108" s="34">
        <f>19</f>
        <v>19</v>
      </c>
    </row>
    <row r="109" spans="1:24">
      <c r="A109" s="25" t="s">
        <v>1109</v>
      </c>
      <c r="B109" s="25" t="s">
        <v>301</v>
      </c>
      <c r="C109" s="25" t="s">
        <v>302</v>
      </c>
      <c r="D109" s="25" t="s">
        <v>303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1847</f>
        <v>1847</v>
      </c>
      <c r="L109" s="32" t="s">
        <v>1110</v>
      </c>
      <c r="M109" s="31">
        <f>1847.5</f>
        <v>1847.5</v>
      </c>
      <c r="N109" s="32" t="s">
        <v>674</v>
      </c>
      <c r="O109" s="31">
        <f>1718.5</f>
        <v>1718.5</v>
      </c>
      <c r="P109" s="32" t="s">
        <v>874</v>
      </c>
      <c r="Q109" s="31">
        <f>1748.5</f>
        <v>1748.5</v>
      </c>
      <c r="R109" s="32" t="s">
        <v>883</v>
      </c>
      <c r="S109" s="33">
        <f>1777.87</f>
        <v>1777.87</v>
      </c>
      <c r="T109" s="30">
        <f>3055920</f>
        <v>3055920</v>
      </c>
      <c r="U109" s="30">
        <f>673340</f>
        <v>673340</v>
      </c>
      <c r="V109" s="30">
        <f>5396233087</f>
        <v>5396233087</v>
      </c>
      <c r="W109" s="30">
        <f>1181733047</f>
        <v>1181733047</v>
      </c>
      <c r="X109" s="34">
        <f>19</f>
        <v>19</v>
      </c>
    </row>
    <row r="110" spans="1:24">
      <c r="A110" s="25" t="s">
        <v>1109</v>
      </c>
      <c r="B110" s="25" t="s">
        <v>304</v>
      </c>
      <c r="C110" s="25" t="s">
        <v>305</v>
      </c>
      <c r="D110" s="25" t="s">
        <v>306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2128</f>
        <v>2128</v>
      </c>
      <c r="L110" s="32" t="s">
        <v>876</v>
      </c>
      <c r="M110" s="31">
        <f>2263</f>
        <v>2263</v>
      </c>
      <c r="N110" s="32" t="s">
        <v>676</v>
      </c>
      <c r="O110" s="31">
        <f>2128</f>
        <v>2128</v>
      </c>
      <c r="P110" s="32" t="s">
        <v>876</v>
      </c>
      <c r="Q110" s="31">
        <f>2238</f>
        <v>2238</v>
      </c>
      <c r="R110" s="32" t="s">
        <v>1111</v>
      </c>
      <c r="S110" s="33">
        <f>2187.4</f>
        <v>2187.4</v>
      </c>
      <c r="T110" s="30">
        <f>200</f>
        <v>200</v>
      </c>
      <c r="U110" s="30" t="str">
        <f>"－"</f>
        <v>－</v>
      </c>
      <c r="V110" s="30">
        <f>441170</f>
        <v>441170</v>
      </c>
      <c r="W110" s="30" t="str">
        <f>"－"</f>
        <v>－</v>
      </c>
      <c r="X110" s="34">
        <f>5</f>
        <v>5</v>
      </c>
    </row>
    <row r="111" spans="1:24">
      <c r="A111" s="25" t="s">
        <v>1109</v>
      </c>
      <c r="B111" s="25" t="s">
        <v>307</v>
      </c>
      <c r="C111" s="25" t="s">
        <v>308</v>
      </c>
      <c r="D111" s="25" t="s">
        <v>309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1864.5</f>
        <v>1864.5</v>
      </c>
      <c r="L111" s="32" t="s">
        <v>1110</v>
      </c>
      <c r="M111" s="31">
        <f>1920</f>
        <v>1920</v>
      </c>
      <c r="N111" s="32" t="s">
        <v>674</v>
      </c>
      <c r="O111" s="31">
        <f>1737</f>
        <v>1737</v>
      </c>
      <c r="P111" s="32" t="s">
        <v>874</v>
      </c>
      <c r="Q111" s="31">
        <f>1770.5</f>
        <v>1770.5</v>
      </c>
      <c r="R111" s="32" t="s">
        <v>883</v>
      </c>
      <c r="S111" s="33">
        <f>1803.18</f>
        <v>1803.18</v>
      </c>
      <c r="T111" s="30">
        <f>2937240</f>
        <v>2937240</v>
      </c>
      <c r="U111" s="30">
        <f>937720</f>
        <v>937720</v>
      </c>
      <c r="V111" s="30">
        <f>5303072952</f>
        <v>5303072952</v>
      </c>
      <c r="W111" s="30">
        <f>1696091847</f>
        <v>1696091847</v>
      </c>
      <c r="X111" s="34">
        <f>19</f>
        <v>19</v>
      </c>
    </row>
    <row r="112" spans="1:24">
      <c r="A112" s="25" t="s">
        <v>1109</v>
      </c>
      <c r="B112" s="25" t="s">
        <v>310</v>
      </c>
      <c r="C112" s="25" t="s">
        <v>924</v>
      </c>
      <c r="D112" s="25" t="s">
        <v>925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</v>
      </c>
      <c r="K112" s="31">
        <f>23240</f>
        <v>23240</v>
      </c>
      <c r="L112" s="32" t="s">
        <v>1110</v>
      </c>
      <c r="M112" s="31">
        <f>24630</f>
        <v>24630</v>
      </c>
      <c r="N112" s="32" t="s">
        <v>676</v>
      </c>
      <c r="O112" s="31">
        <f>23215</f>
        <v>23215</v>
      </c>
      <c r="P112" s="32" t="s">
        <v>1115</v>
      </c>
      <c r="Q112" s="31">
        <f>24400</f>
        <v>24400</v>
      </c>
      <c r="R112" s="32" t="s">
        <v>883</v>
      </c>
      <c r="S112" s="33">
        <f>23865.79</f>
        <v>23865.79</v>
      </c>
      <c r="T112" s="30">
        <f>64073</f>
        <v>64073</v>
      </c>
      <c r="U112" s="30">
        <f>2100</f>
        <v>2100</v>
      </c>
      <c r="V112" s="30">
        <f>1546840295</f>
        <v>1546840295</v>
      </c>
      <c r="W112" s="30">
        <f>49770210</f>
        <v>49770210</v>
      </c>
      <c r="X112" s="34">
        <f>19</f>
        <v>19</v>
      </c>
    </row>
    <row r="113" spans="1:24">
      <c r="A113" s="25" t="s">
        <v>1109</v>
      </c>
      <c r="B113" s="25" t="s">
        <v>311</v>
      </c>
      <c r="C113" s="25" t="s">
        <v>312</v>
      </c>
      <c r="D113" s="25" t="s">
        <v>313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100</v>
      </c>
      <c r="K113" s="31">
        <f>288.6</f>
        <v>288.60000000000002</v>
      </c>
      <c r="L113" s="32" t="s">
        <v>1110</v>
      </c>
      <c r="M113" s="31">
        <f>315.8</f>
        <v>315.8</v>
      </c>
      <c r="N113" s="32" t="s">
        <v>1114</v>
      </c>
      <c r="O113" s="31">
        <f>283.6</f>
        <v>283.60000000000002</v>
      </c>
      <c r="P113" s="32" t="s">
        <v>876</v>
      </c>
      <c r="Q113" s="31">
        <f>312.8</f>
        <v>312.8</v>
      </c>
      <c r="R113" s="32" t="s">
        <v>883</v>
      </c>
      <c r="S113" s="33">
        <f>297.45</f>
        <v>297.45</v>
      </c>
      <c r="T113" s="30">
        <f>83328800</f>
        <v>83328800</v>
      </c>
      <c r="U113" s="30">
        <f>11992200</f>
        <v>11992200</v>
      </c>
      <c r="V113" s="30">
        <f>25002218142</f>
        <v>25002218142</v>
      </c>
      <c r="W113" s="30">
        <f>3689629062</f>
        <v>3689629062</v>
      </c>
      <c r="X113" s="34">
        <f>19</f>
        <v>19</v>
      </c>
    </row>
    <row r="114" spans="1:24">
      <c r="A114" s="25" t="s">
        <v>1109</v>
      </c>
      <c r="B114" s="25" t="s">
        <v>314</v>
      </c>
      <c r="C114" s="25" t="s">
        <v>315</v>
      </c>
      <c r="D114" s="25" t="s">
        <v>316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37250</f>
        <v>37250</v>
      </c>
      <c r="L114" s="32" t="s">
        <v>1110</v>
      </c>
      <c r="M114" s="31">
        <f>38310</f>
        <v>38310</v>
      </c>
      <c r="N114" s="32" t="s">
        <v>1111</v>
      </c>
      <c r="O114" s="31">
        <f>36750</f>
        <v>36750</v>
      </c>
      <c r="P114" s="32" t="s">
        <v>875</v>
      </c>
      <c r="Q114" s="31">
        <f>36980</f>
        <v>36980</v>
      </c>
      <c r="R114" s="32" t="s">
        <v>883</v>
      </c>
      <c r="S114" s="33">
        <f>37355.26</f>
        <v>37355.26</v>
      </c>
      <c r="T114" s="30">
        <f>5038</f>
        <v>5038</v>
      </c>
      <c r="U114" s="30">
        <f>3000</f>
        <v>3000</v>
      </c>
      <c r="V114" s="30">
        <f>186718160</f>
        <v>186718160</v>
      </c>
      <c r="W114" s="30">
        <f>110636100</f>
        <v>110636100</v>
      </c>
      <c r="X114" s="34">
        <f>19</f>
        <v>19</v>
      </c>
    </row>
    <row r="115" spans="1:24">
      <c r="A115" s="25" t="s">
        <v>1109</v>
      </c>
      <c r="B115" s="25" t="s">
        <v>317</v>
      </c>
      <c r="C115" s="25" t="s">
        <v>318</v>
      </c>
      <c r="D115" s="25" t="s">
        <v>319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18450</f>
        <v>18450</v>
      </c>
      <c r="L115" s="32" t="s">
        <v>1110</v>
      </c>
      <c r="M115" s="31">
        <f>19795</f>
        <v>19795</v>
      </c>
      <c r="N115" s="32" t="s">
        <v>883</v>
      </c>
      <c r="O115" s="31">
        <f>18180</f>
        <v>18180</v>
      </c>
      <c r="P115" s="32" t="s">
        <v>1124</v>
      </c>
      <c r="Q115" s="31">
        <f>19575</f>
        <v>19575</v>
      </c>
      <c r="R115" s="32" t="s">
        <v>883</v>
      </c>
      <c r="S115" s="33">
        <f>18953.42</f>
        <v>18953.419999999998</v>
      </c>
      <c r="T115" s="30">
        <f>6442</f>
        <v>6442</v>
      </c>
      <c r="U115" s="30">
        <f>2</f>
        <v>2</v>
      </c>
      <c r="V115" s="30">
        <f>122733465</f>
        <v>122733465</v>
      </c>
      <c r="W115" s="30">
        <f>37160</f>
        <v>37160</v>
      </c>
      <c r="X115" s="34">
        <f>19</f>
        <v>19</v>
      </c>
    </row>
    <row r="116" spans="1:24">
      <c r="A116" s="25" t="s">
        <v>1109</v>
      </c>
      <c r="B116" s="25" t="s">
        <v>320</v>
      </c>
      <c r="C116" s="25" t="s">
        <v>321</v>
      </c>
      <c r="D116" s="25" t="s">
        <v>322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28270</f>
        <v>28270</v>
      </c>
      <c r="L116" s="32" t="s">
        <v>1110</v>
      </c>
      <c r="M116" s="31">
        <f>29165</f>
        <v>29165</v>
      </c>
      <c r="N116" s="32" t="s">
        <v>676</v>
      </c>
      <c r="O116" s="31">
        <f>27945</f>
        <v>27945</v>
      </c>
      <c r="P116" s="32" t="s">
        <v>875</v>
      </c>
      <c r="Q116" s="31">
        <f>28985</f>
        <v>28985</v>
      </c>
      <c r="R116" s="32" t="s">
        <v>883</v>
      </c>
      <c r="S116" s="33">
        <f>28580</f>
        <v>28580</v>
      </c>
      <c r="T116" s="30">
        <f>4315</f>
        <v>4315</v>
      </c>
      <c r="U116" s="30" t="str">
        <f>"－"</f>
        <v>－</v>
      </c>
      <c r="V116" s="30">
        <f>123343920</f>
        <v>123343920</v>
      </c>
      <c r="W116" s="30" t="str">
        <f>"－"</f>
        <v>－</v>
      </c>
      <c r="X116" s="34">
        <f>19</f>
        <v>19</v>
      </c>
    </row>
    <row r="117" spans="1:24">
      <c r="A117" s="25" t="s">
        <v>1109</v>
      </c>
      <c r="B117" s="25" t="s">
        <v>323</v>
      </c>
      <c r="C117" s="25" t="s">
        <v>324</v>
      </c>
      <c r="D117" s="25" t="s">
        <v>325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29530</f>
        <v>29530</v>
      </c>
      <c r="L117" s="32" t="s">
        <v>1110</v>
      </c>
      <c r="M117" s="31">
        <f>30790</f>
        <v>30790</v>
      </c>
      <c r="N117" s="32" t="s">
        <v>1111</v>
      </c>
      <c r="O117" s="31">
        <f>29330</f>
        <v>29330</v>
      </c>
      <c r="P117" s="32" t="s">
        <v>876</v>
      </c>
      <c r="Q117" s="31">
        <f>30370</f>
        <v>30370</v>
      </c>
      <c r="R117" s="32" t="s">
        <v>883</v>
      </c>
      <c r="S117" s="33">
        <f>29946.32</f>
        <v>29946.32</v>
      </c>
      <c r="T117" s="30">
        <f>2956</f>
        <v>2956</v>
      </c>
      <c r="U117" s="30" t="str">
        <f>"－"</f>
        <v>－</v>
      </c>
      <c r="V117" s="30">
        <f>88502970</f>
        <v>88502970</v>
      </c>
      <c r="W117" s="30" t="str">
        <f>"－"</f>
        <v>－</v>
      </c>
      <c r="X117" s="34">
        <f>19</f>
        <v>19</v>
      </c>
    </row>
    <row r="118" spans="1:24">
      <c r="A118" s="25" t="s">
        <v>1109</v>
      </c>
      <c r="B118" s="25" t="s">
        <v>326</v>
      </c>
      <c r="C118" s="25" t="s">
        <v>327</v>
      </c>
      <c r="D118" s="25" t="s">
        <v>328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27065</f>
        <v>27065</v>
      </c>
      <c r="L118" s="32" t="s">
        <v>1110</v>
      </c>
      <c r="M118" s="31">
        <f>28720</f>
        <v>28720</v>
      </c>
      <c r="N118" s="32" t="s">
        <v>1114</v>
      </c>
      <c r="O118" s="31">
        <f>26410</f>
        <v>26410</v>
      </c>
      <c r="P118" s="32" t="s">
        <v>1115</v>
      </c>
      <c r="Q118" s="31">
        <f>28280</f>
        <v>28280</v>
      </c>
      <c r="R118" s="32" t="s">
        <v>883</v>
      </c>
      <c r="S118" s="33">
        <f>27558.68</f>
        <v>27558.68</v>
      </c>
      <c r="T118" s="30">
        <f>9508</f>
        <v>9508</v>
      </c>
      <c r="U118" s="30">
        <f>3</f>
        <v>3</v>
      </c>
      <c r="V118" s="30">
        <f>262242630</f>
        <v>262242630</v>
      </c>
      <c r="W118" s="30">
        <f>82140</f>
        <v>82140</v>
      </c>
      <c r="X118" s="34">
        <f>19</f>
        <v>19</v>
      </c>
    </row>
    <row r="119" spans="1:24">
      <c r="A119" s="25" t="s">
        <v>1109</v>
      </c>
      <c r="B119" s="25" t="s">
        <v>329</v>
      </c>
      <c r="C119" s="25" t="s">
        <v>330</v>
      </c>
      <c r="D119" s="25" t="s">
        <v>331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31750</f>
        <v>31750</v>
      </c>
      <c r="L119" s="32" t="s">
        <v>1110</v>
      </c>
      <c r="M119" s="31">
        <f>36650</f>
        <v>36650</v>
      </c>
      <c r="N119" s="32" t="s">
        <v>1111</v>
      </c>
      <c r="O119" s="31">
        <f>31670</f>
        <v>31670</v>
      </c>
      <c r="P119" s="32" t="s">
        <v>1110</v>
      </c>
      <c r="Q119" s="31">
        <f>36560</f>
        <v>36560</v>
      </c>
      <c r="R119" s="32" t="s">
        <v>883</v>
      </c>
      <c r="S119" s="33">
        <f>34725.26</f>
        <v>34725.26</v>
      </c>
      <c r="T119" s="30">
        <f>28969</f>
        <v>28969</v>
      </c>
      <c r="U119" s="30">
        <f>14000</f>
        <v>14000</v>
      </c>
      <c r="V119" s="30">
        <f>1009845600</f>
        <v>1009845600</v>
      </c>
      <c r="W119" s="30">
        <f>491646400</f>
        <v>491646400</v>
      </c>
      <c r="X119" s="34">
        <f>19</f>
        <v>19</v>
      </c>
    </row>
    <row r="120" spans="1:24">
      <c r="A120" s="25" t="s">
        <v>1109</v>
      </c>
      <c r="B120" s="25" t="s">
        <v>332</v>
      </c>
      <c r="C120" s="25" t="s">
        <v>333</v>
      </c>
      <c r="D120" s="25" t="s">
        <v>334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24680</f>
        <v>24680</v>
      </c>
      <c r="L120" s="32" t="s">
        <v>1110</v>
      </c>
      <c r="M120" s="31">
        <f>26610</f>
        <v>26610</v>
      </c>
      <c r="N120" s="32" t="s">
        <v>1114</v>
      </c>
      <c r="O120" s="31">
        <f>24405</f>
        <v>24405</v>
      </c>
      <c r="P120" s="32" t="s">
        <v>875</v>
      </c>
      <c r="Q120" s="31">
        <f>25920</f>
        <v>25920</v>
      </c>
      <c r="R120" s="32" t="s">
        <v>883</v>
      </c>
      <c r="S120" s="33">
        <f>25247.11</f>
        <v>25247.11</v>
      </c>
      <c r="T120" s="30">
        <f>7730</f>
        <v>7730</v>
      </c>
      <c r="U120" s="30" t="str">
        <f>"－"</f>
        <v>－</v>
      </c>
      <c r="V120" s="30">
        <f>196115595</f>
        <v>196115595</v>
      </c>
      <c r="W120" s="30" t="str">
        <f>"－"</f>
        <v>－</v>
      </c>
      <c r="X120" s="34">
        <f>19</f>
        <v>19</v>
      </c>
    </row>
    <row r="121" spans="1:24">
      <c r="A121" s="25" t="s">
        <v>1109</v>
      </c>
      <c r="B121" s="25" t="s">
        <v>335</v>
      </c>
      <c r="C121" s="25" t="s">
        <v>336</v>
      </c>
      <c r="D121" s="25" t="s">
        <v>337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52100</f>
        <v>52100</v>
      </c>
      <c r="L121" s="32" t="s">
        <v>1110</v>
      </c>
      <c r="M121" s="31">
        <f>56080</f>
        <v>56080</v>
      </c>
      <c r="N121" s="32" t="s">
        <v>1114</v>
      </c>
      <c r="O121" s="31">
        <f>51430</f>
        <v>51430</v>
      </c>
      <c r="P121" s="32" t="s">
        <v>1115</v>
      </c>
      <c r="Q121" s="31">
        <f>56020</f>
        <v>56020</v>
      </c>
      <c r="R121" s="32" t="s">
        <v>883</v>
      </c>
      <c r="S121" s="33">
        <f>53608.95</f>
        <v>53608.95</v>
      </c>
      <c r="T121" s="30">
        <f>3417</f>
        <v>3417</v>
      </c>
      <c r="U121" s="30">
        <f>1900</f>
        <v>1900</v>
      </c>
      <c r="V121" s="30">
        <f>179483420</f>
        <v>179483420</v>
      </c>
      <c r="W121" s="30">
        <f>98477950</f>
        <v>98477950</v>
      </c>
      <c r="X121" s="34">
        <f>19</f>
        <v>19</v>
      </c>
    </row>
    <row r="122" spans="1:24">
      <c r="A122" s="25" t="s">
        <v>1109</v>
      </c>
      <c r="B122" s="25" t="s">
        <v>338</v>
      </c>
      <c r="C122" s="25" t="s">
        <v>339</v>
      </c>
      <c r="D122" s="25" t="s">
        <v>340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35560</f>
        <v>35560</v>
      </c>
      <c r="L122" s="32" t="s">
        <v>1110</v>
      </c>
      <c r="M122" s="31">
        <f>39280</f>
        <v>39280</v>
      </c>
      <c r="N122" s="32" t="s">
        <v>760</v>
      </c>
      <c r="O122" s="31">
        <f>35070</f>
        <v>35070</v>
      </c>
      <c r="P122" s="32" t="s">
        <v>1115</v>
      </c>
      <c r="Q122" s="31">
        <f>37390</f>
        <v>37390</v>
      </c>
      <c r="R122" s="32" t="s">
        <v>883</v>
      </c>
      <c r="S122" s="33">
        <f>36471.05</f>
        <v>36471.050000000003</v>
      </c>
      <c r="T122" s="30">
        <f>15556</f>
        <v>15556</v>
      </c>
      <c r="U122" s="30" t="str">
        <f>"－"</f>
        <v>－</v>
      </c>
      <c r="V122" s="30">
        <f>567057940</f>
        <v>567057940</v>
      </c>
      <c r="W122" s="30" t="str">
        <f>"－"</f>
        <v>－</v>
      </c>
      <c r="X122" s="34">
        <f>19</f>
        <v>19</v>
      </c>
    </row>
    <row r="123" spans="1:24">
      <c r="A123" s="25" t="s">
        <v>1109</v>
      </c>
      <c r="B123" s="25" t="s">
        <v>341</v>
      </c>
      <c r="C123" s="25" t="s">
        <v>342</v>
      </c>
      <c r="D123" s="25" t="s">
        <v>343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33050</f>
        <v>33050</v>
      </c>
      <c r="L123" s="32" t="s">
        <v>1110</v>
      </c>
      <c r="M123" s="31">
        <f>36350</f>
        <v>36350</v>
      </c>
      <c r="N123" s="32" t="s">
        <v>760</v>
      </c>
      <c r="O123" s="31">
        <f>32730</f>
        <v>32730</v>
      </c>
      <c r="P123" s="32" t="s">
        <v>1115</v>
      </c>
      <c r="Q123" s="31">
        <f>34160</f>
        <v>34160</v>
      </c>
      <c r="R123" s="32" t="s">
        <v>883</v>
      </c>
      <c r="S123" s="33">
        <f>33684.74</f>
        <v>33684.74</v>
      </c>
      <c r="T123" s="30">
        <f>3162</f>
        <v>3162</v>
      </c>
      <c r="U123" s="30" t="str">
        <f>"－"</f>
        <v>－</v>
      </c>
      <c r="V123" s="30">
        <f>106931430</f>
        <v>106931430</v>
      </c>
      <c r="W123" s="30" t="str">
        <f>"－"</f>
        <v>－</v>
      </c>
      <c r="X123" s="34">
        <f>19</f>
        <v>19</v>
      </c>
    </row>
    <row r="124" spans="1:24">
      <c r="A124" s="25" t="s">
        <v>1109</v>
      </c>
      <c r="B124" s="25" t="s">
        <v>344</v>
      </c>
      <c r="C124" s="25" t="s">
        <v>345</v>
      </c>
      <c r="D124" s="25" t="s">
        <v>346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8403</f>
        <v>8403</v>
      </c>
      <c r="L124" s="32" t="s">
        <v>1110</v>
      </c>
      <c r="M124" s="31">
        <f>8574</f>
        <v>8574</v>
      </c>
      <c r="N124" s="32" t="s">
        <v>1114</v>
      </c>
      <c r="O124" s="31">
        <f>7999</f>
        <v>7999</v>
      </c>
      <c r="P124" s="32" t="s">
        <v>875</v>
      </c>
      <c r="Q124" s="31">
        <f>8317</f>
        <v>8317</v>
      </c>
      <c r="R124" s="32" t="s">
        <v>883</v>
      </c>
      <c r="S124" s="33">
        <f>8274.74</f>
        <v>8274.74</v>
      </c>
      <c r="T124" s="30">
        <f>57417</f>
        <v>57417</v>
      </c>
      <c r="U124" s="30">
        <f>15000</f>
        <v>15000</v>
      </c>
      <c r="V124" s="30">
        <f>475073502</f>
        <v>475073502</v>
      </c>
      <c r="W124" s="30">
        <f>124800000</f>
        <v>124800000</v>
      </c>
      <c r="X124" s="34">
        <f>19</f>
        <v>19</v>
      </c>
    </row>
    <row r="125" spans="1:24">
      <c r="A125" s="25" t="s">
        <v>1109</v>
      </c>
      <c r="B125" s="25" t="s">
        <v>347</v>
      </c>
      <c r="C125" s="25" t="s">
        <v>348</v>
      </c>
      <c r="D125" s="25" t="s">
        <v>349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19595</f>
        <v>19595</v>
      </c>
      <c r="L125" s="32" t="s">
        <v>1110</v>
      </c>
      <c r="M125" s="31">
        <f>19920</f>
        <v>19920</v>
      </c>
      <c r="N125" s="32" t="s">
        <v>1110</v>
      </c>
      <c r="O125" s="31">
        <f>19035</f>
        <v>19035</v>
      </c>
      <c r="P125" s="32" t="s">
        <v>875</v>
      </c>
      <c r="Q125" s="31">
        <f>19380</f>
        <v>19380</v>
      </c>
      <c r="R125" s="32" t="s">
        <v>883</v>
      </c>
      <c r="S125" s="33">
        <f>19445.26</f>
        <v>19445.259999999998</v>
      </c>
      <c r="T125" s="30">
        <f>21855</f>
        <v>21855</v>
      </c>
      <c r="U125" s="30">
        <f>12000</f>
        <v>12000</v>
      </c>
      <c r="V125" s="30">
        <f>427872645</f>
        <v>427872645</v>
      </c>
      <c r="W125" s="30">
        <f>236434800</f>
        <v>236434800</v>
      </c>
      <c r="X125" s="34">
        <f>19</f>
        <v>19</v>
      </c>
    </row>
    <row r="126" spans="1:24">
      <c r="A126" s="25" t="s">
        <v>1109</v>
      </c>
      <c r="B126" s="25" t="s">
        <v>350</v>
      </c>
      <c r="C126" s="25" t="s">
        <v>351</v>
      </c>
      <c r="D126" s="25" t="s">
        <v>352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77910</f>
        <v>77910</v>
      </c>
      <c r="L126" s="32" t="s">
        <v>1110</v>
      </c>
      <c r="M126" s="31">
        <f>85850</f>
        <v>85850</v>
      </c>
      <c r="N126" s="32" t="s">
        <v>676</v>
      </c>
      <c r="O126" s="31">
        <f>75970</f>
        <v>75970</v>
      </c>
      <c r="P126" s="32" t="s">
        <v>1124</v>
      </c>
      <c r="Q126" s="31">
        <f>83750</f>
        <v>83750</v>
      </c>
      <c r="R126" s="32" t="s">
        <v>883</v>
      </c>
      <c r="S126" s="33">
        <f>80877.89</f>
        <v>80877.89</v>
      </c>
      <c r="T126" s="30">
        <f>19967</f>
        <v>19967</v>
      </c>
      <c r="U126" s="30">
        <f>10</f>
        <v>10</v>
      </c>
      <c r="V126" s="30">
        <f>1626946985</f>
        <v>1626946985</v>
      </c>
      <c r="W126" s="30">
        <f>820015</f>
        <v>820015</v>
      </c>
      <c r="X126" s="34">
        <f>19</f>
        <v>19</v>
      </c>
    </row>
    <row r="127" spans="1:24">
      <c r="A127" s="25" t="s">
        <v>1109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27860</f>
        <v>27860</v>
      </c>
      <c r="L127" s="32" t="s">
        <v>1110</v>
      </c>
      <c r="M127" s="31">
        <f>29315</f>
        <v>29315</v>
      </c>
      <c r="N127" s="32" t="s">
        <v>883</v>
      </c>
      <c r="O127" s="31">
        <f>27800</f>
        <v>27800</v>
      </c>
      <c r="P127" s="32" t="s">
        <v>1110</v>
      </c>
      <c r="Q127" s="31">
        <f>29315</f>
        <v>29315</v>
      </c>
      <c r="R127" s="32" t="s">
        <v>883</v>
      </c>
      <c r="S127" s="33">
        <f>28591.32</f>
        <v>28591.32</v>
      </c>
      <c r="T127" s="30">
        <f>1470</f>
        <v>1470</v>
      </c>
      <c r="U127" s="30" t="str">
        <f>"－"</f>
        <v>－</v>
      </c>
      <c r="V127" s="30">
        <f>41988225</f>
        <v>41988225</v>
      </c>
      <c r="W127" s="30" t="str">
        <f>"－"</f>
        <v>－</v>
      </c>
      <c r="X127" s="34">
        <f>19</f>
        <v>19</v>
      </c>
    </row>
    <row r="128" spans="1:24">
      <c r="A128" s="25" t="s">
        <v>1109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15195</f>
        <v>15195</v>
      </c>
      <c r="L128" s="32" t="s">
        <v>1110</v>
      </c>
      <c r="M128" s="31">
        <f>16670</f>
        <v>16670</v>
      </c>
      <c r="N128" s="32" t="s">
        <v>1114</v>
      </c>
      <c r="O128" s="31">
        <f>14930</f>
        <v>14930</v>
      </c>
      <c r="P128" s="32" t="s">
        <v>876</v>
      </c>
      <c r="Q128" s="31">
        <f>16460</f>
        <v>16460</v>
      </c>
      <c r="R128" s="32" t="s">
        <v>883</v>
      </c>
      <c r="S128" s="33">
        <f>15635.53</f>
        <v>15635.53</v>
      </c>
      <c r="T128" s="30">
        <f>77287</f>
        <v>77287</v>
      </c>
      <c r="U128" s="30">
        <f>18709</f>
        <v>18709</v>
      </c>
      <c r="V128" s="30">
        <f>1201379943</f>
        <v>1201379943</v>
      </c>
      <c r="W128" s="30">
        <f>286678393</f>
        <v>286678393</v>
      </c>
      <c r="X128" s="34">
        <f>19</f>
        <v>19</v>
      </c>
    </row>
    <row r="129" spans="1:24">
      <c r="A129" s="25" t="s">
        <v>1109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21670</f>
        <v>21670</v>
      </c>
      <c r="L129" s="32" t="s">
        <v>1110</v>
      </c>
      <c r="M129" s="31">
        <f>24200</f>
        <v>24200</v>
      </c>
      <c r="N129" s="32" t="s">
        <v>1118</v>
      </c>
      <c r="O129" s="31">
        <f>21295</f>
        <v>21295</v>
      </c>
      <c r="P129" s="32" t="s">
        <v>1116</v>
      </c>
      <c r="Q129" s="31">
        <f>23970</f>
        <v>23970</v>
      </c>
      <c r="R129" s="32" t="s">
        <v>883</v>
      </c>
      <c r="S129" s="33">
        <f>22854.74</f>
        <v>22854.74</v>
      </c>
      <c r="T129" s="30">
        <f>14740</f>
        <v>14740</v>
      </c>
      <c r="U129" s="30">
        <f>2</f>
        <v>2</v>
      </c>
      <c r="V129" s="30">
        <f>338517845</f>
        <v>338517845</v>
      </c>
      <c r="W129" s="30">
        <f>45300</f>
        <v>45300</v>
      </c>
      <c r="X129" s="34">
        <f>19</f>
        <v>19</v>
      </c>
    </row>
    <row r="130" spans="1:24">
      <c r="A130" s="25" t="s">
        <v>1109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36090</f>
        <v>36090</v>
      </c>
      <c r="L130" s="32" t="s">
        <v>1110</v>
      </c>
      <c r="M130" s="31">
        <f>37860</f>
        <v>37860</v>
      </c>
      <c r="N130" s="32" t="s">
        <v>676</v>
      </c>
      <c r="O130" s="31">
        <f>35570</f>
        <v>35570</v>
      </c>
      <c r="P130" s="32" t="s">
        <v>1117</v>
      </c>
      <c r="Q130" s="31">
        <f>37420</f>
        <v>37420</v>
      </c>
      <c r="R130" s="32" t="s">
        <v>883</v>
      </c>
      <c r="S130" s="33">
        <f>36788.42</f>
        <v>36788.42</v>
      </c>
      <c r="T130" s="30">
        <f>5054</f>
        <v>5054</v>
      </c>
      <c r="U130" s="30" t="str">
        <f>"－"</f>
        <v>－</v>
      </c>
      <c r="V130" s="30">
        <f>186088630</f>
        <v>186088630</v>
      </c>
      <c r="W130" s="30" t="str">
        <f>"－"</f>
        <v>－</v>
      </c>
      <c r="X130" s="34">
        <f>19</f>
        <v>19</v>
      </c>
    </row>
    <row r="131" spans="1:24">
      <c r="A131" s="25" t="s">
        <v>1109</v>
      </c>
      <c r="B131" s="25" t="s">
        <v>365</v>
      </c>
      <c r="C131" s="25" t="s">
        <v>926</v>
      </c>
      <c r="D131" s="25" t="s">
        <v>927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10</v>
      </c>
      <c r="K131" s="31">
        <f>1836</f>
        <v>1836</v>
      </c>
      <c r="L131" s="32" t="s">
        <v>1110</v>
      </c>
      <c r="M131" s="31">
        <f>1961</f>
        <v>1961</v>
      </c>
      <c r="N131" s="32" t="s">
        <v>1111</v>
      </c>
      <c r="O131" s="31">
        <f>1806</f>
        <v>1806</v>
      </c>
      <c r="P131" s="32" t="s">
        <v>1124</v>
      </c>
      <c r="Q131" s="31">
        <f>1943</f>
        <v>1943</v>
      </c>
      <c r="R131" s="32" t="s">
        <v>883</v>
      </c>
      <c r="S131" s="33">
        <f>1883.55</f>
        <v>1883.55</v>
      </c>
      <c r="T131" s="30">
        <f>2892920</f>
        <v>2892920</v>
      </c>
      <c r="U131" s="30">
        <f>2255870</f>
        <v>2255870</v>
      </c>
      <c r="V131" s="30">
        <f>5505394046</f>
        <v>5505394046</v>
      </c>
      <c r="W131" s="30">
        <f>4300670611</f>
        <v>4300670611</v>
      </c>
      <c r="X131" s="34">
        <f>19</f>
        <v>19</v>
      </c>
    </row>
    <row r="132" spans="1:24">
      <c r="A132" s="25" t="s">
        <v>1109</v>
      </c>
      <c r="B132" s="25" t="s">
        <v>366</v>
      </c>
      <c r="C132" s="25" t="s">
        <v>928</v>
      </c>
      <c r="D132" s="25" t="s">
        <v>929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10</v>
      </c>
      <c r="K132" s="31">
        <f>2929</f>
        <v>2929</v>
      </c>
      <c r="L132" s="32" t="s">
        <v>1110</v>
      </c>
      <c r="M132" s="31">
        <f>3099</f>
        <v>3099</v>
      </c>
      <c r="N132" s="32" t="s">
        <v>1111</v>
      </c>
      <c r="O132" s="31">
        <f>2879.5</f>
        <v>2879.5</v>
      </c>
      <c r="P132" s="32" t="s">
        <v>674</v>
      </c>
      <c r="Q132" s="31">
        <f>3066</f>
        <v>3066</v>
      </c>
      <c r="R132" s="32" t="s">
        <v>883</v>
      </c>
      <c r="S132" s="33">
        <f>2973.79</f>
        <v>2973.79</v>
      </c>
      <c r="T132" s="30">
        <f>9710</f>
        <v>9710</v>
      </c>
      <c r="U132" s="30" t="str">
        <f>"－"</f>
        <v>－</v>
      </c>
      <c r="V132" s="30">
        <f>29548335</f>
        <v>29548335</v>
      </c>
      <c r="W132" s="30" t="str">
        <f>"－"</f>
        <v>－</v>
      </c>
      <c r="X132" s="34">
        <f>19</f>
        <v>19</v>
      </c>
    </row>
    <row r="133" spans="1:24">
      <c r="A133" s="25" t="s">
        <v>1109</v>
      </c>
      <c r="B133" s="25" t="s">
        <v>367</v>
      </c>
      <c r="C133" s="25" t="s">
        <v>930</v>
      </c>
      <c r="D133" s="25" t="s">
        <v>931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3184</f>
        <v>3184</v>
      </c>
      <c r="L133" s="32" t="s">
        <v>1110</v>
      </c>
      <c r="M133" s="31">
        <f>3369</f>
        <v>3369</v>
      </c>
      <c r="N133" s="32" t="s">
        <v>676</v>
      </c>
      <c r="O133" s="31">
        <f>3184</f>
        <v>3184</v>
      </c>
      <c r="P133" s="32" t="s">
        <v>1110</v>
      </c>
      <c r="Q133" s="31">
        <f>3353</f>
        <v>3353</v>
      </c>
      <c r="R133" s="32" t="s">
        <v>883</v>
      </c>
      <c r="S133" s="33">
        <f>3278.73</f>
        <v>3278.73</v>
      </c>
      <c r="T133" s="30">
        <f>88000</f>
        <v>88000</v>
      </c>
      <c r="U133" s="30">
        <f>69500</f>
        <v>69500</v>
      </c>
      <c r="V133" s="30">
        <f>293505670</f>
        <v>293505670</v>
      </c>
      <c r="W133" s="30">
        <f>233269800</f>
        <v>233269800</v>
      </c>
      <c r="X133" s="34">
        <f>15</f>
        <v>15</v>
      </c>
    </row>
    <row r="134" spans="1:24">
      <c r="A134" s="25" t="s">
        <v>1109</v>
      </c>
      <c r="B134" s="25" t="s">
        <v>368</v>
      </c>
      <c r="C134" s="25" t="s">
        <v>932</v>
      </c>
      <c r="D134" s="25" t="s">
        <v>933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1994</f>
        <v>1994</v>
      </c>
      <c r="L134" s="32" t="s">
        <v>1110</v>
      </c>
      <c r="M134" s="31">
        <f>2138.5</f>
        <v>2138.5</v>
      </c>
      <c r="N134" s="32" t="s">
        <v>676</v>
      </c>
      <c r="O134" s="31">
        <f>1994</f>
        <v>1994</v>
      </c>
      <c r="P134" s="32" t="s">
        <v>1110</v>
      </c>
      <c r="Q134" s="31">
        <f>2132</f>
        <v>2132</v>
      </c>
      <c r="R134" s="32" t="s">
        <v>1114</v>
      </c>
      <c r="S134" s="33">
        <f>2074.65</f>
        <v>2074.65</v>
      </c>
      <c r="T134" s="30">
        <f>4470</f>
        <v>4470</v>
      </c>
      <c r="U134" s="30" t="str">
        <f>"－"</f>
        <v>－</v>
      </c>
      <c r="V134" s="30">
        <f>9283225</f>
        <v>9283225</v>
      </c>
      <c r="W134" s="30" t="str">
        <f>"－"</f>
        <v>－</v>
      </c>
      <c r="X134" s="34">
        <f>13</f>
        <v>13</v>
      </c>
    </row>
    <row r="135" spans="1:24">
      <c r="A135" s="25" t="s">
        <v>1109</v>
      </c>
      <c r="B135" s="25" t="s">
        <v>369</v>
      </c>
      <c r="C135" s="25" t="s">
        <v>370</v>
      </c>
      <c r="D135" s="25" t="s">
        <v>371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516</f>
        <v>516</v>
      </c>
      <c r="L135" s="32" t="s">
        <v>1110</v>
      </c>
      <c r="M135" s="31">
        <f>550.5</f>
        <v>550.5</v>
      </c>
      <c r="N135" s="32" t="s">
        <v>676</v>
      </c>
      <c r="O135" s="31">
        <f>514.9</f>
        <v>514.9</v>
      </c>
      <c r="P135" s="32" t="s">
        <v>1110</v>
      </c>
      <c r="Q135" s="31">
        <f>547.3</f>
        <v>547.29999999999995</v>
      </c>
      <c r="R135" s="32" t="s">
        <v>883</v>
      </c>
      <c r="S135" s="33">
        <f>537.49</f>
        <v>537.49</v>
      </c>
      <c r="T135" s="30">
        <f>48080440</f>
        <v>48080440</v>
      </c>
      <c r="U135" s="30">
        <f>5654360</f>
        <v>5654360</v>
      </c>
      <c r="V135" s="30">
        <f>25797334753</f>
        <v>25797334753</v>
      </c>
      <c r="W135" s="30">
        <f>3045086457</f>
        <v>3045086457</v>
      </c>
      <c r="X135" s="34">
        <f>19</f>
        <v>19</v>
      </c>
    </row>
    <row r="136" spans="1:24">
      <c r="A136" s="25" t="s">
        <v>1109</v>
      </c>
      <c r="B136" s="25" t="s">
        <v>372</v>
      </c>
      <c r="C136" s="25" t="s">
        <v>373</v>
      </c>
      <c r="D136" s="25" t="s">
        <v>374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294.8</f>
        <v>294.8</v>
      </c>
      <c r="L136" s="32" t="s">
        <v>1110</v>
      </c>
      <c r="M136" s="31">
        <f>295.7</f>
        <v>295.7</v>
      </c>
      <c r="N136" s="32" t="s">
        <v>674</v>
      </c>
      <c r="O136" s="31">
        <f>292.8</f>
        <v>292.8</v>
      </c>
      <c r="P136" s="32" t="s">
        <v>1115</v>
      </c>
      <c r="Q136" s="31">
        <f>293.8</f>
        <v>293.8</v>
      </c>
      <c r="R136" s="32" t="s">
        <v>883</v>
      </c>
      <c r="S136" s="33">
        <f>294.33</f>
        <v>294.33</v>
      </c>
      <c r="T136" s="30">
        <f>18386110</f>
        <v>18386110</v>
      </c>
      <c r="U136" s="30">
        <f>16418630</f>
        <v>16418630</v>
      </c>
      <c r="V136" s="30">
        <f>5409482950</f>
        <v>5409482950</v>
      </c>
      <c r="W136" s="30">
        <f>4830750254</f>
        <v>4830750254</v>
      </c>
      <c r="X136" s="34">
        <f>19</f>
        <v>19</v>
      </c>
    </row>
    <row r="137" spans="1:24">
      <c r="A137" s="25" t="s">
        <v>1109</v>
      </c>
      <c r="B137" s="25" t="s">
        <v>375</v>
      </c>
      <c r="C137" s="25" t="s">
        <v>973</v>
      </c>
      <c r="D137" s="25" t="s">
        <v>376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</v>
      </c>
      <c r="K137" s="31">
        <f>4380</f>
        <v>4380</v>
      </c>
      <c r="L137" s="32" t="s">
        <v>1110</v>
      </c>
      <c r="M137" s="31">
        <f>4650</f>
        <v>4650</v>
      </c>
      <c r="N137" s="32" t="s">
        <v>676</v>
      </c>
      <c r="O137" s="31">
        <f>4370</f>
        <v>4370</v>
      </c>
      <c r="P137" s="32" t="s">
        <v>1110</v>
      </c>
      <c r="Q137" s="31">
        <f>4610</f>
        <v>4610</v>
      </c>
      <c r="R137" s="32" t="s">
        <v>883</v>
      </c>
      <c r="S137" s="33">
        <f>4530.53</f>
        <v>4530.53</v>
      </c>
      <c r="T137" s="30">
        <f>58317</f>
        <v>58317</v>
      </c>
      <c r="U137" s="30">
        <f>1445</f>
        <v>1445</v>
      </c>
      <c r="V137" s="30">
        <f>263925465</f>
        <v>263925465</v>
      </c>
      <c r="W137" s="30">
        <f>6482905</f>
        <v>6482905</v>
      </c>
      <c r="X137" s="34">
        <f>19</f>
        <v>19</v>
      </c>
    </row>
    <row r="138" spans="1:24">
      <c r="A138" s="25" t="s">
        <v>1109</v>
      </c>
      <c r="B138" s="25" t="s">
        <v>377</v>
      </c>
      <c r="C138" s="25" t="s">
        <v>378</v>
      </c>
      <c r="D138" s="25" t="s">
        <v>379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2448</f>
        <v>2448</v>
      </c>
      <c r="L138" s="32" t="s">
        <v>1110</v>
      </c>
      <c r="M138" s="31">
        <f>2576</f>
        <v>2576</v>
      </c>
      <c r="N138" s="32" t="s">
        <v>676</v>
      </c>
      <c r="O138" s="31">
        <f>2400</f>
        <v>2400</v>
      </c>
      <c r="P138" s="32" t="s">
        <v>1117</v>
      </c>
      <c r="Q138" s="31">
        <f>2547</f>
        <v>2547</v>
      </c>
      <c r="R138" s="32" t="s">
        <v>883</v>
      </c>
      <c r="S138" s="33">
        <f>2518.37</f>
        <v>2518.37</v>
      </c>
      <c r="T138" s="30">
        <f>100518</f>
        <v>100518</v>
      </c>
      <c r="U138" s="30">
        <f>30460</f>
        <v>30460</v>
      </c>
      <c r="V138" s="30">
        <f>252283745</f>
        <v>252283745</v>
      </c>
      <c r="W138" s="30">
        <f>76373195</f>
        <v>76373195</v>
      </c>
      <c r="X138" s="34">
        <f>19</f>
        <v>19</v>
      </c>
    </row>
    <row r="139" spans="1:24">
      <c r="A139" s="25" t="s">
        <v>1109</v>
      </c>
      <c r="B139" s="25" t="s">
        <v>380</v>
      </c>
      <c r="C139" s="25" t="s">
        <v>381</v>
      </c>
      <c r="D139" s="25" t="s">
        <v>382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2884</f>
        <v>2884</v>
      </c>
      <c r="L139" s="32" t="s">
        <v>1110</v>
      </c>
      <c r="M139" s="31">
        <f>2946</f>
        <v>2946</v>
      </c>
      <c r="N139" s="32" t="s">
        <v>874</v>
      </c>
      <c r="O139" s="31">
        <f>2830</f>
        <v>2830</v>
      </c>
      <c r="P139" s="32" t="s">
        <v>1113</v>
      </c>
      <c r="Q139" s="31">
        <f>2930</f>
        <v>2930</v>
      </c>
      <c r="R139" s="32" t="s">
        <v>883</v>
      </c>
      <c r="S139" s="33">
        <f>2896.89</f>
        <v>2896.89</v>
      </c>
      <c r="T139" s="30">
        <f>275843</f>
        <v>275843</v>
      </c>
      <c r="U139" s="30">
        <f>82833</f>
        <v>82833</v>
      </c>
      <c r="V139" s="30">
        <f>795623415</f>
        <v>795623415</v>
      </c>
      <c r="W139" s="30">
        <f>236816699</f>
        <v>236816699</v>
      </c>
      <c r="X139" s="34">
        <f>19</f>
        <v>19</v>
      </c>
    </row>
    <row r="140" spans="1:24">
      <c r="A140" s="25" t="s">
        <v>1109</v>
      </c>
      <c r="B140" s="25" t="s">
        <v>383</v>
      </c>
      <c r="C140" s="25" t="s">
        <v>384</v>
      </c>
      <c r="D140" s="25" t="s">
        <v>385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10315</f>
        <v>10315</v>
      </c>
      <c r="L140" s="32" t="s">
        <v>1110</v>
      </c>
      <c r="M140" s="31">
        <f>10390</f>
        <v>10390</v>
      </c>
      <c r="N140" s="32" t="s">
        <v>674</v>
      </c>
      <c r="O140" s="31">
        <f>9728</f>
        <v>9728</v>
      </c>
      <c r="P140" s="32" t="s">
        <v>874</v>
      </c>
      <c r="Q140" s="31">
        <f>9886</f>
        <v>9886</v>
      </c>
      <c r="R140" s="32" t="s">
        <v>883</v>
      </c>
      <c r="S140" s="33">
        <f>10045.63</f>
        <v>10045.629999999999</v>
      </c>
      <c r="T140" s="30">
        <f>292571</f>
        <v>292571</v>
      </c>
      <c r="U140" s="30">
        <f>145125</f>
        <v>145125</v>
      </c>
      <c r="V140" s="30">
        <f>2948132045</f>
        <v>2948132045</v>
      </c>
      <c r="W140" s="30">
        <f>1471292398</f>
        <v>1471292398</v>
      </c>
      <c r="X140" s="34">
        <f>19</f>
        <v>19</v>
      </c>
    </row>
    <row r="141" spans="1:24">
      <c r="A141" s="25" t="s">
        <v>1109</v>
      </c>
      <c r="B141" s="25" t="s">
        <v>386</v>
      </c>
      <c r="C141" s="25" t="s">
        <v>387</v>
      </c>
      <c r="D141" s="25" t="s">
        <v>388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2875</f>
        <v>2875</v>
      </c>
      <c r="L141" s="32" t="s">
        <v>1110</v>
      </c>
      <c r="M141" s="31">
        <f>3060</f>
        <v>3060</v>
      </c>
      <c r="N141" s="32" t="s">
        <v>1114</v>
      </c>
      <c r="O141" s="31">
        <f>2774</f>
        <v>2774</v>
      </c>
      <c r="P141" s="32" t="s">
        <v>674</v>
      </c>
      <c r="Q141" s="31">
        <f>3035</f>
        <v>3035</v>
      </c>
      <c r="R141" s="32" t="s">
        <v>883</v>
      </c>
      <c r="S141" s="33">
        <f>2946.79</f>
        <v>2946.79</v>
      </c>
      <c r="T141" s="30">
        <f>4430368</f>
        <v>4430368</v>
      </c>
      <c r="U141" s="30">
        <f>12</f>
        <v>12</v>
      </c>
      <c r="V141" s="30">
        <f>12987441401</f>
        <v>12987441401</v>
      </c>
      <c r="W141" s="30">
        <f>34700</f>
        <v>34700</v>
      </c>
      <c r="X141" s="34">
        <f>19</f>
        <v>19</v>
      </c>
    </row>
    <row r="142" spans="1:24">
      <c r="A142" s="25" t="s">
        <v>1109</v>
      </c>
      <c r="B142" s="25" t="s">
        <v>389</v>
      </c>
      <c r="C142" s="25" t="s">
        <v>390</v>
      </c>
      <c r="D142" s="25" t="s">
        <v>391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28160</f>
        <v>28160</v>
      </c>
      <c r="L142" s="32" t="s">
        <v>1110</v>
      </c>
      <c r="M142" s="31">
        <f>29575</f>
        <v>29575</v>
      </c>
      <c r="N142" s="32" t="s">
        <v>1117</v>
      </c>
      <c r="O142" s="31">
        <f>27995</f>
        <v>27995</v>
      </c>
      <c r="P142" s="32" t="s">
        <v>875</v>
      </c>
      <c r="Q142" s="31">
        <f>28610</f>
        <v>28610</v>
      </c>
      <c r="R142" s="32" t="s">
        <v>883</v>
      </c>
      <c r="S142" s="33">
        <f>28339.21</f>
        <v>28339.21</v>
      </c>
      <c r="T142" s="30">
        <f>8669</f>
        <v>8669</v>
      </c>
      <c r="U142" s="30" t="str">
        <f>"－"</f>
        <v>－</v>
      </c>
      <c r="V142" s="30">
        <f>245853205</f>
        <v>245853205</v>
      </c>
      <c r="W142" s="30" t="str">
        <f>"－"</f>
        <v>－</v>
      </c>
      <c r="X142" s="34">
        <f>19</f>
        <v>19</v>
      </c>
    </row>
    <row r="143" spans="1:24">
      <c r="A143" s="25" t="s">
        <v>1109</v>
      </c>
      <c r="B143" s="25" t="s">
        <v>392</v>
      </c>
      <c r="C143" s="25" t="s">
        <v>393</v>
      </c>
      <c r="D143" s="25" t="s">
        <v>394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10</v>
      </c>
      <c r="K143" s="31">
        <f>3123</f>
        <v>3123</v>
      </c>
      <c r="L143" s="32" t="s">
        <v>1110</v>
      </c>
      <c r="M143" s="31">
        <f>3237</f>
        <v>3237</v>
      </c>
      <c r="N143" s="32" t="s">
        <v>680</v>
      </c>
      <c r="O143" s="31">
        <f>3026</f>
        <v>3026</v>
      </c>
      <c r="P143" s="32" t="s">
        <v>1113</v>
      </c>
      <c r="Q143" s="31">
        <f>3101</f>
        <v>3101</v>
      </c>
      <c r="R143" s="32" t="s">
        <v>883</v>
      </c>
      <c r="S143" s="33">
        <f>3120.26</f>
        <v>3120.26</v>
      </c>
      <c r="T143" s="30">
        <f>27640</f>
        <v>27640</v>
      </c>
      <c r="U143" s="30" t="str">
        <f>"－"</f>
        <v>－</v>
      </c>
      <c r="V143" s="30">
        <f>86334000</f>
        <v>86334000</v>
      </c>
      <c r="W143" s="30" t="str">
        <f>"－"</f>
        <v>－</v>
      </c>
      <c r="X143" s="34">
        <f>19</f>
        <v>19</v>
      </c>
    </row>
    <row r="144" spans="1:24">
      <c r="A144" s="25" t="s">
        <v>1109</v>
      </c>
      <c r="B144" s="25" t="s">
        <v>395</v>
      </c>
      <c r="C144" s="25" t="s">
        <v>396</v>
      </c>
      <c r="D144" s="25" t="s">
        <v>397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12475</f>
        <v>12475</v>
      </c>
      <c r="L144" s="32" t="s">
        <v>1110</v>
      </c>
      <c r="M144" s="31">
        <f>12555</f>
        <v>12555</v>
      </c>
      <c r="N144" s="32" t="s">
        <v>680</v>
      </c>
      <c r="O144" s="31">
        <f>12055</f>
        <v>12055</v>
      </c>
      <c r="P144" s="32" t="s">
        <v>1113</v>
      </c>
      <c r="Q144" s="31">
        <f>12270</f>
        <v>12270</v>
      </c>
      <c r="R144" s="32" t="s">
        <v>883</v>
      </c>
      <c r="S144" s="33">
        <f>12331.58</f>
        <v>12331.58</v>
      </c>
      <c r="T144" s="30">
        <f>10210</f>
        <v>10210</v>
      </c>
      <c r="U144" s="30" t="str">
        <f>"－"</f>
        <v>－</v>
      </c>
      <c r="V144" s="30">
        <f>125642275</f>
        <v>125642275</v>
      </c>
      <c r="W144" s="30" t="str">
        <f>"－"</f>
        <v>－</v>
      </c>
      <c r="X144" s="34">
        <f>19</f>
        <v>19</v>
      </c>
    </row>
    <row r="145" spans="1:24">
      <c r="A145" s="25" t="s">
        <v>1109</v>
      </c>
      <c r="B145" s="25" t="s">
        <v>398</v>
      </c>
      <c r="C145" s="25" t="s">
        <v>399</v>
      </c>
      <c r="D145" s="25" t="s">
        <v>400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13425</f>
        <v>13425</v>
      </c>
      <c r="L145" s="32" t="s">
        <v>1110</v>
      </c>
      <c r="M145" s="31">
        <f>13650</f>
        <v>13650</v>
      </c>
      <c r="N145" s="32" t="s">
        <v>1112</v>
      </c>
      <c r="O145" s="31">
        <f>11920</f>
        <v>11920</v>
      </c>
      <c r="P145" s="32" t="s">
        <v>1117</v>
      </c>
      <c r="Q145" s="31">
        <f>13070</f>
        <v>13070</v>
      </c>
      <c r="R145" s="32" t="s">
        <v>883</v>
      </c>
      <c r="S145" s="33">
        <f>13012.89</f>
        <v>13012.89</v>
      </c>
      <c r="T145" s="30">
        <f>10796</f>
        <v>10796</v>
      </c>
      <c r="U145" s="30" t="str">
        <f>"－"</f>
        <v>－</v>
      </c>
      <c r="V145" s="30">
        <f>138704900</f>
        <v>138704900</v>
      </c>
      <c r="W145" s="30" t="str">
        <f>"－"</f>
        <v>－</v>
      </c>
      <c r="X145" s="34">
        <f>19</f>
        <v>19</v>
      </c>
    </row>
    <row r="146" spans="1:24">
      <c r="A146" s="25" t="s">
        <v>1109</v>
      </c>
      <c r="B146" s="25" t="s">
        <v>401</v>
      </c>
      <c r="C146" s="25" t="s">
        <v>402</v>
      </c>
      <c r="D146" s="25" t="s">
        <v>403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18770</f>
        <v>18770</v>
      </c>
      <c r="L146" s="32" t="s">
        <v>1116</v>
      </c>
      <c r="M146" s="31">
        <f>19355</f>
        <v>19355</v>
      </c>
      <c r="N146" s="32" t="s">
        <v>674</v>
      </c>
      <c r="O146" s="31">
        <f>18500</f>
        <v>18500</v>
      </c>
      <c r="P146" s="32" t="s">
        <v>1117</v>
      </c>
      <c r="Q146" s="31">
        <f>19090</f>
        <v>19090</v>
      </c>
      <c r="R146" s="32" t="s">
        <v>676</v>
      </c>
      <c r="S146" s="33">
        <f>18830</f>
        <v>18830</v>
      </c>
      <c r="T146" s="30">
        <f>573</f>
        <v>573</v>
      </c>
      <c r="U146" s="30" t="str">
        <f>"－"</f>
        <v>－</v>
      </c>
      <c r="V146" s="30">
        <f>10703545</f>
        <v>10703545</v>
      </c>
      <c r="W146" s="30" t="str">
        <f>"－"</f>
        <v>－</v>
      </c>
      <c r="X146" s="34">
        <f>12</f>
        <v>12</v>
      </c>
    </row>
    <row r="147" spans="1:24">
      <c r="A147" s="25" t="s">
        <v>1109</v>
      </c>
      <c r="B147" s="25" t="s">
        <v>404</v>
      </c>
      <c r="C147" s="25" t="s">
        <v>405</v>
      </c>
      <c r="D147" s="25" t="s">
        <v>406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10</v>
      </c>
      <c r="K147" s="31">
        <f>54620</f>
        <v>54620</v>
      </c>
      <c r="L147" s="32" t="s">
        <v>1110</v>
      </c>
      <c r="M147" s="31">
        <f>55300</f>
        <v>55300</v>
      </c>
      <c r="N147" s="32" t="s">
        <v>1114</v>
      </c>
      <c r="O147" s="31">
        <f>54530</f>
        <v>54530</v>
      </c>
      <c r="P147" s="32" t="s">
        <v>1110</v>
      </c>
      <c r="Q147" s="31">
        <f>54900</f>
        <v>54900</v>
      </c>
      <c r="R147" s="32" t="s">
        <v>883</v>
      </c>
      <c r="S147" s="33">
        <f>54806.84</f>
        <v>54806.84</v>
      </c>
      <c r="T147" s="30">
        <f>6680</f>
        <v>6680</v>
      </c>
      <c r="U147" s="30">
        <f>3060</f>
        <v>3060</v>
      </c>
      <c r="V147" s="30">
        <f>366826300</f>
        <v>366826300</v>
      </c>
      <c r="W147" s="30">
        <f>168468200</f>
        <v>168468200</v>
      </c>
      <c r="X147" s="34">
        <f>19</f>
        <v>19</v>
      </c>
    </row>
    <row r="148" spans="1:24">
      <c r="A148" s="25" t="s">
        <v>1109</v>
      </c>
      <c r="B148" s="25" t="s">
        <v>407</v>
      </c>
      <c r="C148" s="25" t="s">
        <v>974</v>
      </c>
      <c r="D148" s="25" t="s">
        <v>408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338.4</f>
        <v>338.4</v>
      </c>
      <c r="L148" s="32" t="s">
        <v>1110</v>
      </c>
      <c r="M148" s="31">
        <f>354.2</f>
        <v>354.2</v>
      </c>
      <c r="N148" s="32" t="s">
        <v>1114</v>
      </c>
      <c r="O148" s="31">
        <f>336.1</f>
        <v>336.1</v>
      </c>
      <c r="P148" s="32" t="s">
        <v>1110</v>
      </c>
      <c r="Q148" s="31">
        <f>348.4</f>
        <v>348.4</v>
      </c>
      <c r="R148" s="32" t="s">
        <v>883</v>
      </c>
      <c r="S148" s="33">
        <f>346.73</f>
        <v>346.73</v>
      </c>
      <c r="T148" s="30">
        <f>50581480</f>
        <v>50581480</v>
      </c>
      <c r="U148" s="30">
        <f>44580</f>
        <v>44580</v>
      </c>
      <c r="V148" s="30">
        <f>17553799392</f>
        <v>17553799392</v>
      </c>
      <c r="W148" s="30">
        <f>15320367</f>
        <v>15320367</v>
      </c>
      <c r="X148" s="34">
        <f>19</f>
        <v>19</v>
      </c>
    </row>
    <row r="149" spans="1:24">
      <c r="A149" s="25" t="s">
        <v>1109</v>
      </c>
      <c r="B149" s="25" t="s">
        <v>409</v>
      </c>
      <c r="C149" s="25" t="s">
        <v>975</v>
      </c>
      <c r="D149" s="25" t="s">
        <v>410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46950</f>
        <v>46950</v>
      </c>
      <c r="L149" s="32" t="s">
        <v>1110</v>
      </c>
      <c r="M149" s="31">
        <f>52600</f>
        <v>52600</v>
      </c>
      <c r="N149" s="32" t="s">
        <v>876</v>
      </c>
      <c r="O149" s="31">
        <f>46840</f>
        <v>46840</v>
      </c>
      <c r="P149" s="32" t="s">
        <v>1110</v>
      </c>
      <c r="Q149" s="31">
        <f>48880</f>
        <v>48880</v>
      </c>
      <c r="R149" s="32" t="s">
        <v>883</v>
      </c>
      <c r="S149" s="33">
        <f>48188.82</f>
        <v>48188.82</v>
      </c>
      <c r="T149" s="30">
        <f>10340</f>
        <v>10340</v>
      </c>
      <c r="U149" s="30" t="str">
        <f t="shared" ref="U149:U163" si="0">"－"</f>
        <v>－</v>
      </c>
      <c r="V149" s="30">
        <f>504586700</f>
        <v>504586700</v>
      </c>
      <c r="W149" s="30" t="str">
        <f t="shared" ref="W149:W163" si="1">"－"</f>
        <v>－</v>
      </c>
      <c r="X149" s="34">
        <f>17</f>
        <v>17</v>
      </c>
    </row>
    <row r="150" spans="1:24">
      <c r="A150" s="25" t="s">
        <v>1109</v>
      </c>
      <c r="B150" s="25" t="s">
        <v>411</v>
      </c>
      <c r="C150" s="25" t="s">
        <v>412</v>
      </c>
      <c r="D150" s="25" t="s">
        <v>976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4964</f>
        <v>4964</v>
      </c>
      <c r="L150" s="32" t="s">
        <v>1110</v>
      </c>
      <c r="M150" s="31">
        <f>5290</f>
        <v>5290</v>
      </c>
      <c r="N150" s="32" t="s">
        <v>676</v>
      </c>
      <c r="O150" s="31">
        <f>4951</f>
        <v>4951</v>
      </c>
      <c r="P150" s="32" t="s">
        <v>1110</v>
      </c>
      <c r="Q150" s="31">
        <f>5255</f>
        <v>5255</v>
      </c>
      <c r="R150" s="32" t="s">
        <v>883</v>
      </c>
      <c r="S150" s="33">
        <f>5161.37</f>
        <v>5161.37</v>
      </c>
      <c r="T150" s="30">
        <f>70380</f>
        <v>70380</v>
      </c>
      <c r="U150" s="30" t="str">
        <f t="shared" si="0"/>
        <v>－</v>
      </c>
      <c r="V150" s="30">
        <f>364024040</f>
        <v>364024040</v>
      </c>
      <c r="W150" s="30" t="str">
        <f t="shared" si="1"/>
        <v>－</v>
      </c>
      <c r="X150" s="34">
        <f>19</f>
        <v>19</v>
      </c>
    </row>
    <row r="151" spans="1:24">
      <c r="A151" s="25" t="s">
        <v>1109</v>
      </c>
      <c r="B151" s="25" t="s">
        <v>413</v>
      </c>
      <c r="C151" s="25" t="s">
        <v>977</v>
      </c>
      <c r="D151" s="25" t="s">
        <v>978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1786.5</f>
        <v>1786.5</v>
      </c>
      <c r="L151" s="32" t="s">
        <v>1110</v>
      </c>
      <c r="M151" s="31">
        <f>1919</f>
        <v>1919</v>
      </c>
      <c r="N151" s="32" t="s">
        <v>874</v>
      </c>
      <c r="O151" s="31">
        <f>1770.5</f>
        <v>1770.5</v>
      </c>
      <c r="P151" s="32" t="s">
        <v>1110</v>
      </c>
      <c r="Q151" s="31">
        <f>1902.5</f>
        <v>1902.5</v>
      </c>
      <c r="R151" s="32" t="s">
        <v>883</v>
      </c>
      <c r="S151" s="33">
        <f>1864.42</f>
        <v>1864.42</v>
      </c>
      <c r="T151" s="30">
        <f>191100</f>
        <v>191100</v>
      </c>
      <c r="U151" s="30" t="str">
        <f t="shared" si="0"/>
        <v>－</v>
      </c>
      <c r="V151" s="30">
        <f>357186310</f>
        <v>357186310</v>
      </c>
      <c r="W151" s="30" t="str">
        <f t="shared" si="1"/>
        <v>－</v>
      </c>
      <c r="X151" s="34">
        <f>19</f>
        <v>19</v>
      </c>
    </row>
    <row r="152" spans="1:24">
      <c r="A152" s="25" t="s">
        <v>1109</v>
      </c>
      <c r="B152" s="25" t="s">
        <v>414</v>
      </c>
      <c r="C152" s="25" t="s">
        <v>415</v>
      </c>
      <c r="D152" s="25" t="s">
        <v>416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100</v>
      </c>
      <c r="K152" s="31">
        <f>234.4</f>
        <v>234.4</v>
      </c>
      <c r="L152" s="32" t="s">
        <v>1110</v>
      </c>
      <c r="M152" s="31">
        <f>237.9</f>
        <v>237.9</v>
      </c>
      <c r="N152" s="32" t="s">
        <v>1110</v>
      </c>
      <c r="O152" s="31">
        <f>229.1</f>
        <v>229.1</v>
      </c>
      <c r="P152" s="32" t="s">
        <v>1113</v>
      </c>
      <c r="Q152" s="31">
        <f>231</f>
        <v>231</v>
      </c>
      <c r="R152" s="32" t="s">
        <v>883</v>
      </c>
      <c r="S152" s="33">
        <f>232.38</f>
        <v>232.38</v>
      </c>
      <c r="T152" s="30">
        <f>82700</f>
        <v>82700</v>
      </c>
      <c r="U152" s="30" t="str">
        <f t="shared" si="0"/>
        <v>－</v>
      </c>
      <c r="V152" s="30">
        <f>19226230</f>
        <v>19226230</v>
      </c>
      <c r="W152" s="30" t="str">
        <f t="shared" si="1"/>
        <v>－</v>
      </c>
      <c r="X152" s="34">
        <f>19</f>
        <v>19</v>
      </c>
    </row>
    <row r="153" spans="1:24">
      <c r="A153" s="25" t="s">
        <v>1109</v>
      </c>
      <c r="B153" s="25" t="s">
        <v>417</v>
      </c>
      <c r="C153" s="25" t="s">
        <v>418</v>
      </c>
      <c r="D153" s="25" t="s">
        <v>419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1604.5</f>
        <v>1604.5</v>
      </c>
      <c r="L153" s="32" t="s">
        <v>1110</v>
      </c>
      <c r="M153" s="31">
        <f>1992</f>
        <v>1992</v>
      </c>
      <c r="N153" s="32" t="s">
        <v>1124</v>
      </c>
      <c r="O153" s="31">
        <f>1547</f>
        <v>1547</v>
      </c>
      <c r="P153" s="32" t="s">
        <v>1115</v>
      </c>
      <c r="Q153" s="31">
        <f>1569</f>
        <v>1569</v>
      </c>
      <c r="R153" s="32" t="s">
        <v>883</v>
      </c>
      <c r="S153" s="33">
        <f>1576.32</f>
        <v>1576.32</v>
      </c>
      <c r="T153" s="30">
        <f>10370</f>
        <v>10370</v>
      </c>
      <c r="U153" s="30" t="str">
        <f t="shared" si="0"/>
        <v>－</v>
      </c>
      <c r="V153" s="30">
        <f>18029845</f>
        <v>18029845</v>
      </c>
      <c r="W153" s="30" t="str">
        <f t="shared" si="1"/>
        <v>－</v>
      </c>
      <c r="X153" s="34">
        <f>14</f>
        <v>14</v>
      </c>
    </row>
    <row r="154" spans="1:24">
      <c r="A154" s="25" t="s">
        <v>1109</v>
      </c>
      <c r="B154" s="25" t="s">
        <v>420</v>
      </c>
      <c r="C154" s="25" t="s">
        <v>421</v>
      </c>
      <c r="D154" s="25" t="s">
        <v>422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544</f>
        <v>544</v>
      </c>
      <c r="L154" s="32" t="s">
        <v>1110</v>
      </c>
      <c r="M154" s="31">
        <f>552.3</f>
        <v>552.29999999999995</v>
      </c>
      <c r="N154" s="32" t="s">
        <v>1114</v>
      </c>
      <c r="O154" s="31">
        <f>526.4</f>
        <v>526.4</v>
      </c>
      <c r="P154" s="32" t="s">
        <v>1116</v>
      </c>
      <c r="Q154" s="31">
        <f>550.3</f>
        <v>550.29999999999995</v>
      </c>
      <c r="R154" s="32" t="s">
        <v>883</v>
      </c>
      <c r="S154" s="33">
        <f>538.84</f>
        <v>538.84</v>
      </c>
      <c r="T154" s="30">
        <f>89550</f>
        <v>89550</v>
      </c>
      <c r="U154" s="30" t="str">
        <f t="shared" si="0"/>
        <v>－</v>
      </c>
      <c r="V154" s="30">
        <f>48643500</f>
        <v>48643500</v>
      </c>
      <c r="W154" s="30" t="str">
        <f t="shared" si="1"/>
        <v>－</v>
      </c>
      <c r="X154" s="34">
        <f>19</f>
        <v>19</v>
      </c>
    </row>
    <row r="155" spans="1:24">
      <c r="A155" s="25" t="s">
        <v>1109</v>
      </c>
      <c r="B155" s="25" t="s">
        <v>423</v>
      </c>
      <c r="C155" s="25" t="s">
        <v>424</v>
      </c>
      <c r="D155" s="25" t="s">
        <v>425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2048</f>
        <v>2048</v>
      </c>
      <c r="L155" s="32" t="s">
        <v>1116</v>
      </c>
      <c r="M155" s="31">
        <f>2100</f>
        <v>2100</v>
      </c>
      <c r="N155" s="32" t="s">
        <v>676</v>
      </c>
      <c r="O155" s="31">
        <f>2008</f>
        <v>2008</v>
      </c>
      <c r="P155" s="32" t="s">
        <v>1113</v>
      </c>
      <c r="Q155" s="31">
        <f>2097.5</f>
        <v>2097.5</v>
      </c>
      <c r="R155" s="32" t="s">
        <v>883</v>
      </c>
      <c r="S155" s="33">
        <f>2062.8</f>
        <v>2062.8000000000002</v>
      </c>
      <c r="T155" s="30">
        <f>1660</f>
        <v>1660</v>
      </c>
      <c r="U155" s="30" t="str">
        <f t="shared" si="0"/>
        <v>－</v>
      </c>
      <c r="V155" s="30">
        <f>3400950</f>
        <v>3400950</v>
      </c>
      <c r="W155" s="30" t="str">
        <f t="shared" si="1"/>
        <v>－</v>
      </c>
      <c r="X155" s="34">
        <f>15</f>
        <v>15</v>
      </c>
    </row>
    <row r="156" spans="1:24">
      <c r="A156" s="25" t="s">
        <v>1109</v>
      </c>
      <c r="B156" s="25" t="s">
        <v>426</v>
      </c>
      <c r="C156" s="25" t="s">
        <v>427</v>
      </c>
      <c r="D156" s="25" t="s">
        <v>428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919</f>
        <v>919</v>
      </c>
      <c r="L156" s="32" t="s">
        <v>1110</v>
      </c>
      <c r="M156" s="31">
        <f>925.5</f>
        <v>925.5</v>
      </c>
      <c r="N156" s="32" t="s">
        <v>1117</v>
      </c>
      <c r="O156" s="31">
        <f>880.9</f>
        <v>880.9</v>
      </c>
      <c r="P156" s="32" t="s">
        <v>676</v>
      </c>
      <c r="Q156" s="31">
        <f>899.7</f>
        <v>899.7</v>
      </c>
      <c r="R156" s="32" t="s">
        <v>883</v>
      </c>
      <c r="S156" s="33">
        <f>910.75</f>
        <v>910.75</v>
      </c>
      <c r="T156" s="30">
        <f>53380</f>
        <v>53380</v>
      </c>
      <c r="U156" s="30" t="str">
        <f t="shared" si="0"/>
        <v>－</v>
      </c>
      <c r="V156" s="30">
        <f>48264205</f>
        <v>48264205</v>
      </c>
      <c r="W156" s="30" t="str">
        <f t="shared" si="1"/>
        <v>－</v>
      </c>
      <c r="X156" s="34">
        <f>19</f>
        <v>19</v>
      </c>
    </row>
    <row r="157" spans="1:24">
      <c r="A157" s="25" t="s">
        <v>1109</v>
      </c>
      <c r="B157" s="25" t="s">
        <v>429</v>
      </c>
      <c r="C157" s="25" t="s">
        <v>430</v>
      </c>
      <c r="D157" s="25" t="s">
        <v>431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594</f>
        <v>594</v>
      </c>
      <c r="L157" s="32" t="s">
        <v>1110</v>
      </c>
      <c r="M157" s="31">
        <f>594</f>
        <v>594</v>
      </c>
      <c r="N157" s="32" t="s">
        <v>1110</v>
      </c>
      <c r="O157" s="31">
        <f>556.6</f>
        <v>556.6</v>
      </c>
      <c r="P157" s="32" t="s">
        <v>676</v>
      </c>
      <c r="Q157" s="31">
        <f>567</f>
        <v>567</v>
      </c>
      <c r="R157" s="32" t="s">
        <v>883</v>
      </c>
      <c r="S157" s="33">
        <f>576.94</f>
        <v>576.94000000000005</v>
      </c>
      <c r="T157" s="30">
        <f>116880</f>
        <v>116880</v>
      </c>
      <c r="U157" s="30" t="str">
        <f t="shared" si="0"/>
        <v>－</v>
      </c>
      <c r="V157" s="30">
        <f>66950737</f>
        <v>66950737</v>
      </c>
      <c r="W157" s="30" t="str">
        <f t="shared" si="1"/>
        <v>－</v>
      </c>
      <c r="X157" s="34">
        <f>19</f>
        <v>19</v>
      </c>
    </row>
    <row r="158" spans="1:24">
      <c r="A158" s="25" t="s">
        <v>1109</v>
      </c>
      <c r="B158" s="25" t="s">
        <v>432</v>
      </c>
      <c r="C158" s="25" t="s">
        <v>433</v>
      </c>
      <c r="D158" s="25" t="s">
        <v>434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</v>
      </c>
      <c r="K158" s="31">
        <f>1451</f>
        <v>1451</v>
      </c>
      <c r="L158" s="32" t="s">
        <v>1110</v>
      </c>
      <c r="M158" s="31">
        <f>1479</f>
        <v>1479</v>
      </c>
      <c r="N158" s="32" t="s">
        <v>1110</v>
      </c>
      <c r="O158" s="31">
        <f>1162</f>
        <v>1162</v>
      </c>
      <c r="P158" s="32" t="s">
        <v>680</v>
      </c>
      <c r="Q158" s="31">
        <f>1310</f>
        <v>1310</v>
      </c>
      <c r="R158" s="32" t="s">
        <v>883</v>
      </c>
      <c r="S158" s="33">
        <f>1299.53</f>
        <v>1299.53</v>
      </c>
      <c r="T158" s="30">
        <f>1540774</f>
        <v>1540774</v>
      </c>
      <c r="U158" s="30" t="str">
        <f t="shared" si="0"/>
        <v>－</v>
      </c>
      <c r="V158" s="30">
        <f>2004495267</f>
        <v>2004495267</v>
      </c>
      <c r="W158" s="30" t="str">
        <f t="shared" si="1"/>
        <v>－</v>
      </c>
      <c r="X158" s="34">
        <f>19</f>
        <v>19</v>
      </c>
    </row>
    <row r="159" spans="1:24">
      <c r="A159" s="25" t="s">
        <v>1109</v>
      </c>
      <c r="B159" s="25" t="s">
        <v>435</v>
      </c>
      <c r="C159" s="25" t="s">
        <v>436</v>
      </c>
      <c r="D159" s="25" t="s">
        <v>437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1398.5</f>
        <v>1398.5</v>
      </c>
      <c r="L159" s="32" t="s">
        <v>1110</v>
      </c>
      <c r="M159" s="31">
        <f>1471</f>
        <v>1471</v>
      </c>
      <c r="N159" s="32" t="s">
        <v>1114</v>
      </c>
      <c r="O159" s="31">
        <f>1348</f>
        <v>1348</v>
      </c>
      <c r="P159" s="32" t="s">
        <v>674</v>
      </c>
      <c r="Q159" s="31">
        <f>1462.5</f>
        <v>1462.5</v>
      </c>
      <c r="R159" s="32" t="s">
        <v>883</v>
      </c>
      <c r="S159" s="33">
        <f>1424.21</f>
        <v>1424.21</v>
      </c>
      <c r="T159" s="30">
        <f>58660</f>
        <v>58660</v>
      </c>
      <c r="U159" s="30" t="str">
        <f t="shared" si="0"/>
        <v>－</v>
      </c>
      <c r="V159" s="30">
        <f>83693440</f>
        <v>83693440</v>
      </c>
      <c r="W159" s="30" t="str">
        <f t="shared" si="1"/>
        <v>－</v>
      </c>
      <c r="X159" s="34">
        <f>19</f>
        <v>19</v>
      </c>
    </row>
    <row r="160" spans="1:24">
      <c r="A160" s="25" t="s">
        <v>1109</v>
      </c>
      <c r="B160" s="25" t="s">
        <v>438</v>
      </c>
      <c r="C160" s="25" t="s">
        <v>439</v>
      </c>
      <c r="D160" s="25" t="s">
        <v>440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7569</f>
        <v>7569</v>
      </c>
      <c r="L160" s="32" t="s">
        <v>1110</v>
      </c>
      <c r="M160" s="31">
        <f>8370</f>
        <v>8370</v>
      </c>
      <c r="N160" s="32" t="s">
        <v>1117</v>
      </c>
      <c r="O160" s="31">
        <f>7400</f>
        <v>7400</v>
      </c>
      <c r="P160" s="32" t="s">
        <v>674</v>
      </c>
      <c r="Q160" s="31">
        <f>8100</f>
        <v>8100</v>
      </c>
      <c r="R160" s="32" t="s">
        <v>883</v>
      </c>
      <c r="S160" s="33">
        <f>7969.76</f>
        <v>7969.76</v>
      </c>
      <c r="T160" s="30">
        <f>455</f>
        <v>455</v>
      </c>
      <c r="U160" s="30" t="str">
        <f t="shared" si="0"/>
        <v>－</v>
      </c>
      <c r="V160" s="30">
        <f>3671017</f>
        <v>3671017</v>
      </c>
      <c r="W160" s="30" t="str">
        <f t="shared" si="1"/>
        <v>－</v>
      </c>
      <c r="X160" s="34">
        <f>17</f>
        <v>17</v>
      </c>
    </row>
    <row r="161" spans="1:24">
      <c r="A161" s="25" t="s">
        <v>1109</v>
      </c>
      <c r="B161" s="25" t="s">
        <v>441</v>
      </c>
      <c r="C161" s="25" t="s">
        <v>442</v>
      </c>
      <c r="D161" s="25" t="s">
        <v>443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100</v>
      </c>
      <c r="K161" s="31">
        <f>442.4</f>
        <v>442.4</v>
      </c>
      <c r="L161" s="32" t="s">
        <v>1110</v>
      </c>
      <c r="M161" s="31">
        <f>450.2</f>
        <v>450.2</v>
      </c>
      <c r="N161" s="32" t="s">
        <v>1112</v>
      </c>
      <c r="O161" s="31">
        <f>431.8</f>
        <v>431.8</v>
      </c>
      <c r="P161" s="32" t="s">
        <v>1124</v>
      </c>
      <c r="Q161" s="31">
        <f>436.9</f>
        <v>436.9</v>
      </c>
      <c r="R161" s="32" t="s">
        <v>883</v>
      </c>
      <c r="S161" s="33">
        <f>439.74</f>
        <v>439.74</v>
      </c>
      <c r="T161" s="30">
        <f>159300</f>
        <v>159300</v>
      </c>
      <c r="U161" s="30" t="str">
        <f t="shared" si="0"/>
        <v>－</v>
      </c>
      <c r="V161" s="30">
        <f>70012100</f>
        <v>70012100</v>
      </c>
      <c r="W161" s="30" t="str">
        <f t="shared" si="1"/>
        <v>－</v>
      </c>
      <c r="X161" s="34">
        <f>19</f>
        <v>19</v>
      </c>
    </row>
    <row r="162" spans="1:24">
      <c r="A162" s="25" t="s">
        <v>1109</v>
      </c>
      <c r="B162" s="25" t="s">
        <v>444</v>
      </c>
      <c r="C162" s="25" t="s">
        <v>445</v>
      </c>
      <c r="D162" s="25" t="s">
        <v>446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5082</f>
        <v>5082</v>
      </c>
      <c r="L162" s="32" t="s">
        <v>1110</v>
      </c>
      <c r="M162" s="31">
        <f>5230</f>
        <v>5230</v>
      </c>
      <c r="N162" s="32" t="s">
        <v>874</v>
      </c>
      <c r="O162" s="31">
        <f>4947</f>
        <v>4947</v>
      </c>
      <c r="P162" s="32" t="s">
        <v>876</v>
      </c>
      <c r="Q162" s="31">
        <f>5136</f>
        <v>5136</v>
      </c>
      <c r="R162" s="32" t="s">
        <v>883</v>
      </c>
      <c r="S162" s="33">
        <f>5077.32</f>
        <v>5077.32</v>
      </c>
      <c r="T162" s="30">
        <f>22280</f>
        <v>22280</v>
      </c>
      <c r="U162" s="30" t="str">
        <f t="shared" si="0"/>
        <v>－</v>
      </c>
      <c r="V162" s="30">
        <f>113086500</f>
        <v>113086500</v>
      </c>
      <c r="W162" s="30" t="str">
        <f t="shared" si="1"/>
        <v>－</v>
      </c>
      <c r="X162" s="34">
        <f>19</f>
        <v>19</v>
      </c>
    </row>
    <row r="163" spans="1:24">
      <c r="A163" s="25" t="s">
        <v>1109</v>
      </c>
      <c r="B163" s="25" t="s">
        <v>447</v>
      </c>
      <c r="C163" s="25" t="s">
        <v>448</v>
      </c>
      <c r="D163" s="25" t="s">
        <v>449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2190</f>
        <v>2190</v>
      </c>
      <c r="L163" s="32" t="s">
        <v>1110</v>
      </c>
      <c r="M163" s="31">
        <f>2491</f>
        <v>2491</v>
      </c>
      <c r="N163" s="32" t="s">
        <v>1111</v>
      </c>
      <c r="O163" s="31">
        <f>2150</f>
        <v>2150</v>
      </c>
      <c r="P163" s="32" t="s">
        <v>674</v>
      </c>
      <c r="Q163" s="31">
        <f>2419.5</f>
        <v>2419.5</v>
      </c>
      <c r="R163" s="32" t="s">
        <v>883</v>
      </c>
      <c r="S163" s="33">
        <f>2255.03</f>
        <v>2255.0300000000002</v>
      </c>
      <c r="T163" s="30">
        <f>25190</f>
        <v>25190</v>
      </c>
      <c r="U163" s="30" t="str">
        <f t="shared" si="0"/>
        <v>－</v>
      </c>
      <c r="V163" s="30">
        <f>58267470</f>
        <v>58267470</v>
      </c>
      <c r="W163" s="30" t="str">
        <f t="shared" si="1"/>
        <v>－</v>
      </c>
      <c r="X163" s="34">
        <f>19</f>
        <v>19</v>
      </c>
    </row>
    <row r="164" spans="1:24">
      <c r="A164" s="25" t="s">
        <v>1109</v>
      </c>
      <c r="B164" s="25" t="s">
        <v>450</v>
      </c>
      <c r="C164" s="25" t="s">
        <v>451</v>
      </c>
      <c r="D164" s="25" t="s">
        <v>452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3655</f>
        <v>3655</v>
      </c>
      <c r="L164" s="32" t="s">
        <v>1110</v>
      </c>
      <c r="M164" s="31">
        <f>3710</f>
        <v>3710</v>
      </c>
      <c r="N164" s="32" t="s">
        <v>1117</v>
      </c>
      <c r="O164" s="31">
        <f>3450</f>
        <v>3450</v>
      </c>
      <c r="P164" s="32" t="s">
        <v>1118</v>
      </c>
      <c r="Q164" s="31">
        <f>3590</f>
        <v>3590</v>
      </c>
      <c r="R164" s="32" t="s">
        <v>883</v>
      </c>
      <c r="S164" s="33">
        <f>3599.21</f>
        <v>3599.21</v>
      </c>
      <c r="T164" s="30">
        <f>195924</f>
        <v>195924</v>
      </c>
      <c r="U164" s="30">
        <f>77</f>
        <v>77</v>
      </c>
      <c r="V164" s="30">
        <f>702883705</f>
        <v>702883705</v>
      </c>
      <c r="W164" s="30">
        <f>280790</f>
        <v>280790</v>
      </c>
      <c r="X164" s="34">
        <f>19</f>
        <v>19</v>
      </c>
    </row>
    <row r="165" spans="1:24">
      <c r="A165" s="25" t="s">
        <v>1109</v>
      </c>
      <c r="B165" s="25" t="s">
        <v>453</v>
      </c>
      <c r="C165" s="25" t="s">
        <v>454</v>
      </c>
      <c r="D165" s="25" t="s">
        <v>455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3350</f>
        <v>3350</v>
      </c>
      <c r="L165" s="32" t="s">
        <v>1110</v>
      </c>
      <c r="M165" s="31">
        <f>3385</f>
        <v>3385</v>
      </c>
      <c r="N165" s="32" t="s">
        <v>1110</v>
      </c>
      <c r="O165" s="31">
        <f>3095</f>
        <v>3095</v>
      </c>
      <c r="P165" s="32" t="s">
        <v>676</v>
      </c>
      <c r="Q165" s="31">
        <f>3215</f>
        <v>3215</v>
      </c>
      <c r="R165" s="32" t="s">
        <v>883</v>
      </c>
      <c r="S165" s="33">
        <f>3254.47</f>
        <v>3254.47</v>
      </c>
      <c r="T165" s="30">
        <f>31721</f>
        <v>31721</v>
      </c>
      <c r="U165" s="30" t="str">
        <f>"－"</f>
        <v>－</v>
      </c>
      <c r="V165" s="30">
        <f>102588330</f>
        <v>102588330</v>
      </c>
      <c r="W165" s="30" t="str">
        <f>"－"</f>
        <v>－</v>
      </c>
      <c r="X165" s="34">
        <f>19</f>
        <v>19</v>
      </c>
    </row>
    <row r="166" spans="1:24">
      <c r="A166" s="25" t="s">
        <v>1109</v>
      </c>
      <c r="B166" s="25" t="s">
        <v>456</v>
      </c>
      <c r="C166" s="25" t="s">
        <v>457</v>
      </c>
      <c r="D166" s="25" t="s">
        <v>458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4298</f>
        <v>4298</v>
      </c>
      <c r="L166" s="32" t="s">
        <v>1110</v>
      </c>
      <c r="M166" s="31">
        <f>4298</f>
        <v>4298</v>
      </c>
      <c r="N166" s="32" t="s">
        <v>1110</v>
      </c>
      <c r="O166" s="31">
        <f>4077</f>
        <v>4077</v>
      </c>
      <c r="P166" s="32" t="s">
        <v>883</v>
      </c>
      <c r="Q166" s="31">
        <f>4077</f>
        <v>4077</v>
      </c>
      <c r="R166" s="32" t="s">
        <v>883</v>
      </c>
      <c r="S166" s="33">
        <f>4216.68</f>
        <v>4216.68</v>
      </c>
      <c r="T166" s="30">
        <f>9120</f>
        <v>9120</v>
      </c>
      <c r="U166" s="30" t="str">
        <f>"－"</f>
        <v>－</v>
      </c>
      <c r="V166" s="30">
        <f>38414540</f>
        <v>38414540</v>
      </c>
      <c r="W166" s="30" t="str">
        <f>"－"</f>
        <v>－</v>
      </c>
      <c r="X166" s="34">
        <f>19</f>
        <v>19</v>
      </c>
    </row>
    <row r="167" spans="1:24">
      <c r="A167" s="25" t="s">
        <v>1109</v>
      </c>
      <c r="B167" s="25" t="s">
        <v>459</v>
      </c>
      <c r="C167" s="25" t="s">
        <v>460</v>
      </c>
      <c r="D167" s="25" t="s">
        <v>979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2783</f>
        <v>2783</v>
      </c>
      <c r="L167" s="32" t="s">
        <v>1110</v>
      </c>
      <c r="M167" s="31">
        <f>2899</f>
        <v>2899</v>
      </c>
      <c r="N167" s="32" t="s">
        <v>1111</v>
      </c>
      <c r="O167" s="31">
        <f>2767</f>
        <v>2767</v>
      </c>
      <c r="P167" s="32" t="s">
        <v>1110</v>
      </c>
      <c r="Q167" s="31">
        <f>2882</f>
        <v>2882</v>
      </c>
      <c r="R167" s="32" t="s">
        <v>883</v>
      </c>
      <c r="S167" s="33">
        <f>2830.13</f>
        <v>2830.13</v>
      </c>
      <c r="T167" s="30">
        <f>257230</f>
        <v>257230</v>
      </c>
      <c r="U167" s="30">
        <f>20150</f>
        <v>20150</v>
      </c>
      <c r="V167" s="30">
        <f>726580395</f>
        <v>726580395</v>
      </c>
      <c r="W167" s="30">
        <f>56287240</f>
        <v>56287240</v>
      </c>
      <c r="X167" s="34">
        <f>19</f>
        <v>19</v>
      </c>
    </row>
    <row r="168" spans="1:24">
      <c r="A168" s="25" t="s">
        <v>1109</v>
      </c>
      <c r="B168" s="25" t="s">
        <v>461</v>
      </c>
      <c r="C168" s="25" t="s">
        <v>980</v>
      </c>
      <c r="D168" s="25" t="s">
        <v>981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384.9</f>
        <v>384.9</v>
      </c>
      <c r="L168" s="32" t="s">
        <v>1110</v>
      </c>
      <c r="M168" s="31">
        <f>405.9</f>
        <v>405.9</v>
      </c>
      <c r="N168" s="32" t="s">
        <v>1118</v>
      </c>
      <c r="O168" s="31">
        <f>372.6</f>
        <v>372.6</v>
      </c>
      <c r="P168" s="32" t="s">
        <v>674</v>
      </c>
      <c r="Q168" s="31">
        <f>402.3</f>
        <v>402.3</v>
      </c>
      <c r="R168" s="32" t="s">
        <v>883</v>
      </c>
      <c r="S168" s="33">
        <f>393.35</f>
        <v>393.35</v>
      </c>
      <c r="T168" s="30">
        <f>26152460</f>
        <v>26152460</v>
      </c>
      <c r="U168" s="30">
        <f>14005860</f>
        <v>14005860</v>
      </c>
      <c r="V168" s="30">
        <f>10003559799</f>
        <v>10003559799</v>
      </c>
      <c r="W168" s="30">
        <f>5234236429</f>
        <v>5234236429</v>
      </c>
      <c r="X168" s="34">
        <f>19</f>
        <v>19</v>
      </c>
    </row>
    <row r="169" spans="1:24">
      <c r="A169" s="25" t="s">
        <v>1109</v>
      </c>
      <c r="B169" s="25" t="s">
        <v>1054</v>
      </c>
      <c r="C169" s="25" t="s">
        <v>1055</v>
      </c>
      <c r="D169" s="25" t="s">
        <v>1056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535</f>
        <v>535</v>
      </c>
      <c r="L169" s="32" t="s">
        <v>1110</v>
      </c>
      <c r="M169" s="31">
        <f>554.8</f>
        <v>554.79999999999995</v>
      </c>
      <c r="N169" s="32" t="s">
        <v>676</v>
      </c>
      <c r="O169" s="31">
        <f>527</f>
        <v>527</v>
      </c>
      <c r="P169" s="32" t="s">
        <v>876</v>
      </c>
      <c r="Q169" s="31">
        <f>549.9</f>
        <v>549.9</v>
      </c>
      <c r="R169" s="32" t="s">
        <v>883</v>
      </c>
      <c r="S169" s="33">
        <f>539.61</f>
        <v>539.61</v>
      </c>
      <c r="T169" s="30">
        <f>754470</f>
        <v>754470</v>
      </c>
      <c r="U169" s="30" t="str">
        <f>"－"</f>
        <v>－</v>
      </c>
      <c r="V169" s="30">
        <f>406319254</f>
        <v>406319254</v>
      </c>
      <c r="W169" s="30" t="str">
        <f>"－"</f>
        <v>－</v>
      </c>
      <c r="X169" s="34">
        <f>19</f>
        <v>19</v>
      </c>
    </row>
    <row r="170" spans="1:24">
      <c r="A170" s="25" t="s">
        <v>1109</v>
      </c>
      <c r="B170" s="25" t="s">
        <v>1083</v>
      </c>
      <c r="C170" s="25" t="s">
        <v>1084</v>
      </c>
      <c r="D170" s="25" t="s">
        <v>1085</v>
      </c>
      <c r="E170" s="26" t="s">
        <v>43</v>
      </c>
      <c r="F170" s="27" t="s">
        <v>43</v>
      </c>
      <c r="G170" s="28" t="s">
        <v>43</v>
      </c>
      <c r="H170" s="29"/>
      <c r="I170" s="29" t="s">
        <v>44</v>
      </c>
      <c r="J170" s="30">
        <v>10</v>
      </c>
      <c r="K170" s="31">
        <f>200.1</f>
        <v>200.1</v>
      </c>
      <c r="L170" s="32" t="s">
        <v>1110</v>
      </c>
      <c r="M170" s="31">
        <f>206.9</f>
        <v>206.9</v>
      </c>
      <c r="N170" s="32" t="s">
        <v>680</v>
      </c>
      <c r="O170" s="31">
        <f>198.9</f>
        <v>198.9</v>
      </c>
      <c r="P170" s="32" t="s">
        <v>1116</v>
      </c>
      <c r="Q170" s="31">
        <f>204.8</f>
        <v>204.8</v>
      </c>
      <c r="R170" s="32" t="s">
        <v>883</v>
      </c>
      <c r="S170" s="33">
        <f>203.54</f>
        <v>203.54</v>
      </c>
      <c r="T170" s="30">
        <f>2654660</f>
        <v>2654660</v>
      </c>
      <c r="U170" s="30" t="str">
        <f>"－"</f>
        <v>－</v>
      </c>
      <c r="V170" s="30">
        <f>540666412</f>
        <v>540666412</v>
      </c>
      <c r="W170" s="30" t="str">
        <f>"－"</f>
        <v>－</v>
      </c>
      <c r="X170" s="34">
        <f>19</f>
        <v>19</v>
      </c>
    </row>
    <row r="171" spans="1:24">
      <c r="A171" s="25" t="s">
        <v>1109</v>
      </c>
      <c r="B171" s="25" t="s">
        <v>1087</v>
      </c>
      <c r="C171" s="25" t="s">
        <v>1088</v>
      </c>
      <c r="D171" s="25" t="s">
        <v>1089</v>
      </c>
      <c r="E171" s="26" t="s">
        <v>43</v>
      </c>
      <c r="F171" s="27" t="s">
        <v>43</v>
      </c>
      <c r="G171" s="28" t="s">
        <v>43</v>
      </c>
      <c r="H171" s="29"/>
      <c r="I171" s="29" t="s">
        <v>44</v>
      </c>
      <c r="J171" s="30">
        <v>10</v>
      </c>
      <c r="K171" s="31">
        <f>203.1</f>
        <v>203.1</v>
      </c>
      <c r="L171" s="32" t="s">
        <v>1110</v>
      </c>
      <c r="M171" s="31">
        <f>212.2</f>
        <v>212.2</v>
      </c>
      <c r="N171" s="32" t="s">
        <v>676</v>
      </c>
      <c r="O171" s="31">
        <f>202.1</f>
        <v>202.1</v>
      </c>
      <c r="P171" s="32" t="s">
        <v>1110</v>
      </c>
      <c r="Q171" s="31">
        <f>210.4</f>
        <v>210.4</v>
      </c>
      <c r="R171" s="32" t="s">
        <v>883</v>
      </c>
      <c r="S171" s="33">
        <f>207.44</f>
        <v>207.44</v>
      </c>
      <c r="T171" s="30">
        <f>7338460</f>
        <v>7338460</v>
      </c>
      <c r="U171" s="30">
        <f>4070</f>
        <v>4070</v>
      </c>
      <c r="V171" s="30">
        <f>1523740812</f>
        <v>1523740812</v>
      </c>
      <c r="W171" s="30">
        <f>822646</f>
        <v>822646</v>
      </c>
      <c r="X171" s="34">
        <f>19</f>
        <v>19</v>
      </c>
    </row>
    <row r="172" spans="1:24">
      <c r="A172" s="25" t="s">
        <v>1109</v>
      </c>
      <c r="B172" s="25" t="s">
        <v>1090</v>
      </c>
      <c r="C172" s="25" t="s">
        <v>1091</v>
      </c>
      <c r="D172" s="25" t="s">
        <v>1092</v>
      </c>
      <c r="E172" s="26" t="s">
        <v>43</v>
      </c>
      <c r="F172" s="27" t="s">
        <v>43</v>
      </c>
      <c r="G172" s="28" t="s">
        <v>43</v>
      </c>
      <c r="H172" s="29"/>
      <c r="I172" s="29" t="s">
        <v>44</v>
      </c>
      <c r="J172" s="30">
        <v>10</v>
      </c>
      <c r="K172" s="31">
        <f>204.4</f>
        <v>204.4</v>
      </c>
      <c r="L172" s="32" t="s">
        <v>1110</v>
      </c>
      <c r="M172" s="31">
        <f>216.1</f>
        <v>216.1</v>
      </c>
      <c r="N172" s="32" t="s">
        <v>676</v>
      </c>
      <c r="O172" s="31">
        <f>203.7</f>
        <v>203.7</v>
      </c>
      <c r="P172" s="32" t="s">
        <v>1110</v>
      </c>
      <c r="Q172" s="31">
        <f>214.4</f>
        <v>214.4</v>
      </c>
      <c r="R172" s="32" t="s">
        <v>883</v>
      </c>
      <c r="S172" s="33">
        <f>210.51</f>
        <v>210.51</v>
      </c>
      <c r="T172" s="30">
        <f>13653320</f>
        <v>13653320</v>
      </c>
      <c r="U172" s="30">
        <f>720</f>
        <v>720</v>
      </c>
      <c r="V172" s="30">
        <f>2887153872</f>
        <v>2887153872</v>
      </c>
      <c r="W172" s="30">
        <f>140304</f>
        <v>140304</v>
      </c>
      <c r="X172" s="34">
        <f>19</f>
        <v>19</v>
      </c>
    </row>
    <row r="173" spans="1:24">
      <c r="A173" s="25" t="s">
        <v>1109</v>
      </c>
      <c r="B173" s="25" t="s">
        <v>1093</v>
      </c>
      <c r="C173" s="25" t="s">
        <v>1094</v>
      </c>
      <c r="D173" s="25" t="s">
        <v>1095</v>
      </c>
      <c r="E173" s="26" t="s">
        <v>43</v>
      </c>
      <c r="F173" s="27" t="s">
        <v>43</v>
      </c>
      <c r="G173" s="28" t="s">
        <v>43</v>
      </c>
      <c r="H173" s="29"/>
      <c r="I173" s="29" t="s">
        <v>44</v>
      </c>
      <c r="J173" s="30">
        <v>1</v>
      </c>
      <c r="K173" s="31">
        <f>2016</f>
        <v>2016</v>
      </c>
      <c r="L173" s="32" t="s">
        <v>1110</v>
      </c>
      <c r="M173" s="31">
        <f>2020</f>
        <v>2020</v>
      </c>
      <c r="N173" s="32" t="s">
        <v>674</v>
      </c>
      <c r="O173" s="31">
        <f>2003</f>
        <v>2003</v>
      </c>
      <c r="P173" s="32" t="s">
        <v>1113</v>
      </c>
      <c r="Q173" s="31">
        <f>2005</f>
        <v>2005</v>
      </c>
      <c r="R173" s="32" t="s">
        <v>883</v>
      </c>
      <c r="S173" s="33">
        <f>2010.21</f>
        <v>2010.21</v>
      </c>
      <c r="T173" s="30">
        <f>783994</f>
        <v>783994</v>
      </c>
      <c r="U173" s="30">
        <f>560074</f>
        <v>560074</v>
      </c>
      <c r="V173" s="30">
        <f>1577684963</f>
        <v>1577684963</v>
      </c>
      <c r="W173" s="30">
        <f>1126700481</f>
        <v>1126700481</v>
      </c>
      <c r="X173" s="34">
        <f>19</f>
        <v>19</v>
      </c>
    </row>
    <row r="174" spans="1:24">
      <c r="A174" s="25" t="s">
        <v>1109</v>
      </c>
      <c r="B174" s="25" t="s">
        <v>1096</v>
      </c>
      <c r="C174" s="25" t="s">
        <v>1097</v>
      </c>
      <c r="D174" s="25" t="s">
        <v>1098</v>
      </c>
      <c r="E174" s="26" t="s">
        <v>43</v>
      </c>
      <c r="F174" s="27" t="s">
        <v>43</v>
      </c>
      <c r="G174" s="28" t="s">
        <v>43</v>
      </c>
      <c r="H174" s="29"/>
      <c r="I174" s="29" t="s">
        <v>44</v>
      </c>
      <c r="J174" s="30">
        <v>1</v>
      </c>
      <c r="K174" s="31">
        <f>2016</f>
        <v>2016</v>
      </c>
      <c r="L174" s="32" t="s">
        <v>1110</v>
      </c>
      <c r="M174" s="31">
        <f>2027</f>
        <v>2027</v>
      </c>
      <c r="N174" s="32" t="s">
        <v>1116</v>
      </c>
      <c r="O174" s="31">
        <f>1952</f>
        <v>1952</v>
      </c>
      <c r="P174" s="32" t="s">
        <v>1117</v>
      </c>
      <c r="Q174" s="31">
        <f>1962</f>
        <v>1962</v>
      </c>
      <c r="R174" s="32" t="s">
        <v>883</v>
      </c>
      <c r="S174" s="33">
        <f>1974.84</f>
        <v>1974.84</v>
      </c>
      <c r="T174" s="30">
        <f>710786</f>
        <v>710786</v>
      </c>
      <c r="U174" s="30">
        <f>250000</f>
        <v>250000</v>
      </c>
      <c r="V174" s="30">
        <f>1403621739</f>
        <v>1403621739</v>
      </c>
      <c r="W174" s="30">
        <f>489341425</f>
        <v>489341425</v>
      </c>
      <c r="X174" s="34">
        <f>19</f>
        <v>19</v>
      </c>
    </row>
    <row r="175" spans="1:24">
      <c r="A175" s="25" t="s">
        <v>1109</v>
      </c>
      <c r="B175" s="25" t="s">
        <v>1099</v>
      </c>
      <c r="C175" s="25" t="s">
        <v>1100</v>
      </c>
      <c r="D175" s="25" t="s">
        <v>1101</v>
      </c>
      <c r="E175" s="26" t="s">
        <v>43</v>
      </c>
      <c r="F175" s="27" t="s">
        <v>43</v>
      </c>
      <c r="G175" s="28" t="s">
        <v>43</v>
      </c>
      <c r="H175" s="29"/>
      <c r="I175" s="29" t="s">
        <v>44</v>
      </c>
      <c r="J175" s="30">
        <v>1</v>
      </c>
      <c r="K175" s="31">
        <f>1004</f>
        <v>1004</v>
      </c>
      <c r="L175" s="32" t="s">
        <v>1110</v>
      </c>
      <c r="M175" s="31">
        <f>1052</f>
        <v>1052</v>
      </c>
      <c r="N175" s="32" t="s">
        <v>676</v>
      </c>
      <c r="O175" s="31">
        <f>995</f>
        <v>995</v>
      </c>
      <c r="P175" s="32" t="s">
        <v>1115</v>
      </c>
      <c r="Q175" s="31">
        <f>1047</f>
        <v>1047</v>
      </c>
      <c r="R175" s="32" t="s">
        <v>883</v>
      </c>
      <c r="S175" s="33">
        <f>1025.89</f>
        <v>1025.8900000000001</v>
      </c>
      <c r="T175" s="30">
        <f>7243242</f>
        <v>7243242</v>
      </c>
      <c r="U175" s="30">
        <f>177587</f>
        <v>177587</v>
      </c>
      <c r="V175" s="30">
        <f>7402762134</f>
        <v>7402762134</v>
      </c>
      <c r="W175" s="30">
        <f>181161009</f>
        <v>181161009</v>
      </c>
      <c r="X175" s="34">
        <f>19</f>
        <v>19</v>
      </c>
    </row>
    <row r="176" spans="1:24">
      <c r="A176" s="25" t="s">
        <v>1109</v>
      </c>
      <c r="B176" s="25" t="s">
        <v>1103</v>
      </c>
      <c r="C176" s="25" t="s">
        <v>1104</v>
      </c>
      <c r="D176" s="25" t="s">
        <v>1105</v>
      </c>
      <c r="E176" s="26" t="s">
        <v>43</v>
      </c>
      <c r="F176" s="27" t="s">
        <v>43</v>
      </c>
      <c r="G176" s="28" t="s">
        <v>43</v>
      </c>
      <c r="H176" s="29"/>
      <c r="I176" s="29" t="s">
        <v>44</v>
      </c>
      <c r="J176" s="30">
        <v>1</v>
      </c>
      <c r="K176" s="31">
        <f>995</f>
        <v>995</v>
      </c>
      <c r="L176" s="32" t="s">
        <v>1110</v>
      </c>
      <c r="M176" s="31">
        <f>1032</f>
        <v>1032</v>
      </c>
      <c r="N176" s="32" t="s">
        <v>760</v>
      </c>
      <c r="O176" s="31">
        <f>980</f>
        <v>980</v>
      </c>
      <c r="P176" s="32" t="s">
        <v>1124</v>
      </c>
      <c r="Q176" s="31">
        <f>1028</f>
        <v>1028</v>
      </c>
      <c r="R176" s="32" t="s">
        <v>883</v>
      </c>
      <c r="S176" s="33">
        <f>1006.37</f>
        <v>1006.37</v>
      </c>
      <c r="T176" s="30">
        <f>210801</f>
        <v>210801</v>
      </c>
      <c r="U176" s="30">
        <f>1</f>
        <v>1</v>
      </c>
      <c r="V176" s="30">
        <f>210451943</f>
        <v>210451943</v>
      </c>
      <c r="W176" s="30">
        <f>996</f>
        <v>996</v>
      </c>
      <c r="X176" s="34">
        <f>19</f>
        <v>19</v>
      </c>
    </row>
    <row r="177" spans="1:24">
      <c r="A177" s="25" t="s">
        <v>1109</v>
      </c>
      <c r="B177" s="25" t="s">
        <v>1106</v>
      </c>
      <c r="C177" s="25" t="s">
        <v>1107</v>
      </c>
      <c r="D177" s="25" t="s">
        <v>1108</v>
      </c>
      <c r="E177" s="26" t="s">
        <v>43</v>
      </c>
      <c r="F177" s="27" t="s">
        <v>43</v>
      </c>
      <c r="G177" s="28" t="s">
        <v>43</v>
      </c>
      <c r="H177" s="29"/>
      <c r="I177" s="29" t="s">
        <v>44</v>
      </c>
      <c r="J177" s="30">
        <v>1</v>
      </c>
      <c r="K177" s="31">
        <f>1007</f>
        <v>1007</v>
      </c>
      <c r="L177" s="32" t="s">
        <v>1110</v>
      </c>
      <c r="M177" s="31">
        <f>1038</f>
        <v>1038</v>
      </c>
      <c r="N177" s="32" t="s">
        <v>676</v>
      </c>
      <c r="O177" s="31">
        <f>995</f>
        <v>995</v>
      </c>
      <c r="P177" s="32" t="s">
        <v>1115</v>
      </c>
      <c r="Q177" s="31">
        <f>1032</f>
        <v>1032</v>
      </c>
      <c r="R177" s="32" t="s">
        <v>883</v>
      </c>
      <c r="S177" s="33">
        <f>1018.05</f>
        <v>1018.05</v>
      </c>
      <c r="T177" s="30">
        <f>470729</f>
        <v>470729</v>
      </c>
      <c r="U177" s="30">
        <f>352</f>
        <v>352</v>
      </c>
      <c r="V177" s="30">
        <f>476062557</f>
        <v>476062557</v>
      </c>
      <c r="W177" s="30">
        <f>340593</f>
        <v>340593</v>
      </c>
      <c r="X177" s="34">
        <f>19</f>
        <v>19</v>
      </c>
    </row>
    <row r="178" spans="1:24">
      <c r="A178" s="25" t="s">
        <v>1109</v>
      </c>
      <c r="B178" s="25" t="s">
        <v>462</v>
      </c>
      <c r="C178" s="25" t="s">
        <v>463</v>
      </c>
      <c r="D178" s="25" t="s">
        <v>464</v>
      </c>
      <c r="E178" s="26" t="s">
        <v>43</v>
      </c>
      <c r="F178" s="27" t="s">
        <v>43</v>
      </c>
      <c r="G178" s="28" t="s">
        <v>43</v>
      </c>
      <c r="H178" s="29"/>
      <c r="I178" s="29" t="s">
        <v>465</v>
      </c>
      <c r="J178" s="30">
        <v>1</v>
      </c>
      <c r="K178" s="31">
        <f>3525</f>
        <v>3525</v>
      </c>
      <c r="L178" s="32" t="s">
        <v>1110</v>
      </c>
      <c r="M178" s="31">
        <f>4215</f>
        <v>4215</v>
      </c>
      <c r="N178" s="32" t="s">
        <v>1114</v>
      </c>
      <c r="O178" s="31">
        <f>3490</f>
        <v>3490</v>
      </c>
      <c r="P178" s="32" t="s">
        <v>674</v>
      </c>
      <c r="Q178" s="31">
        <f>4035</f>
        <v>4035</v>
      </c>
      <c r="R178" s="32" t="s">
        <v>883</v>
      </c>
      <c r="S178" s="33">
        <f>3860.26</f>
        <v>3860.26</v>
      </c>
      <c r="T178" s="30">
        <f>190355</f>
        <v>190355</v>
      </c>
      <c r="U178" s="30" t="str">
        <f>"－"</f>
        <v>－</v>
      </c>
      <c r="V178" s="30">
        <f>738010745</f>
        <v>738010745</v>
      </c>
      <c r="W178" s="30" t="str">
        <f>"－"</f>
        <v>－</v>
      </c>
      <c r="X178" s="34">
        <f>19</f>
        <v>19</v>
      </c>
    </row>
    <row r="179" spans="1:24">
      <c r="A179" s="25" t="s">
        <v>1109</v>
      </c>
      <c r="B179" s="25" t="s">
        <v>466</v>
      </c>
      <c r="C179" s="25" t="s">
        <v>467</v>
      </c>
      <c r="D179" s="25" t="s">
        <v>468</v>
      </c>
      <c r="E179" s="26" t="s">
        <v>43</v>
      </c>
      <c r="F179" s="27" t="s">
        <v>43</v>
      </c>
      <c r="G179" s="28" t="s">
        <v>43</v>
      </c>
      <c r="H179" s="29"/>
      <c r="I179" s="29" t="s">
        <v>465</v>
      </c>
      <c r="J179" s="30">
        <v>1</v>
      </c>
      <c r="K179" s="31">
        <f>10515</f>
        <v>10515</v>
      </c>
      <c r="L179" s="32" t="s">
        <v>1110</v>
      </c>
      <c r="M179" s="31">
        <f>10750</f>
        <v>10750</v>
      </c>
      <c r="N179" s="32" t="s">
        <v>674</v>
      </c>
      <c r="O179" s="31">
        <f>9785</f>
        <v>9785</v>
      </c>
      <c r="P179" s="32" t="s">
        <v>676</v>
      </c>
      <c r="Q179" s="31">
        <f>9969</f>
        <v>9969</v>
      </c>
      <c r="R179" s="32" t="s">
        <v>883</v>
      </c>
      <c r="S179" s="33">
        <f>10164.63</f>
        <v>10164.629999999999</v>
      </c>
      <c r="T179" s="30">
        <f>15525</f>
        <v>15525</v>
      </c>
      <c r="U179" s="30" t="str">
        <f>"－"</f>
        <v>－</v>
      </c>
      <c r="V179" s="30">
        <f>158349452</f>
        <v>158349452</v>
      </c>
      <c r="W179" s="30" t="str">
        <f>"－"</f>
        <v>－</v>
      </c>
      <c r="X179" s="34">
        <f>19</f>
        <v>19</v>
      </c>
    </row>
    <row r="180" spans="1:24">
      <c r="A180" s="25" t="s">
        <v>1109</v>
      </c>
      <c r="B180" s="25" t="s">
        <v>469</v>
      </c>
      <c r="C180" s="25" t="s">
        <v>470</v>
      </c>
      <c r="D180" s="25" t="s">
        <v>471</v>
      </c>
      <c r="E180" s="26" t="s">
        <v>43</v>
      </c>
      <c r="F180" s="27" t="s">
        <v>43</v>
      </c>
      <c r="G180" s="28" t="s">
        <v>43</v>
      </c>
      <c r="H180" s="29"/>
      <c r="I180" s="29" t="s">
        <v>465</v>
      </c>
      <c r="J180" s="30">
        <v>1</v>
      </c>
      <c r="K180" s="31">
        <f>11965</f>
        <v>11965</v>
      </c>
      <c r="L180" s="32" t="s">
        <v>1110</v>
      </c>
      <c r="M180" s="31">
        <f>13730</f>
        <v>13730</v>
      </c>
      <c r="N180" s="32" t="s">
        <v>676</v>
      </c>
      <c r="O180" s="31">
        <f>11965</f>
        <v>11965</v>
      </c>
      <c r="P180" s="32" t="s">
        <v>1110</v>
      </c>
      <c r="Q180" s="31">
        <f>13540</f>
        <v>13540</v>
      </c>
      <c r="R180" s="32" t="s">
        <v>1114</v>
      </c>
      <c r="S180" s="33">
        <f>13152.5</f>
        <v>13152.5</v>
      </c>
      <c r="T180" s="30">
        <f>1597</f>
        <v>1597</v>
      </c>
      <c r="U180" s="30" t="str">
        <f>"－"</f>
        <v>－</v>
      </c>
      <c r="V180" s="30">
        <f>20946165</f>
        <v>20946165</v>
      </c>
      <c r="W180" s="30" t="str">
        <f>"－"</f>
        <v>－</v>
      </c>
      <c r="X180" s="34">
        <f>18</f>
        <v>18</v>
      </c>
    </row>
    <row r="181" spans="1:24">
      <c r="A181" s="25" t="s">
        <v>1109</v>
      </c>
      <c r="B181" s="25" t="s">
        <v>472</v>
      </c>
      <c r="C181" s="25" t="s">
        <v>473</v>
      </c>
      <c r="D181" s="25" t="s">
        <v>474</v>
      </c>
      <c r="E181" s="26" t="s">
        <v>43</v>
      </c>
      <c r="F181" s="27" t="s">
        <v>43</v>
      </c>
      <c r="G181" s="28" t="s">
        <v>43</v>
      </c>
      <c r="H181" s="29"/>
      <c r="I181" s="29" t="s">
        <v>465</v>
      </c>
      <c r="J181" s="30">
        <v>1</v>
      </c>
      <c r="K181" s="31">
        <f>8034</f>
        <v>8034</v>
      </c>
      <c r="L181" s="32" t="s">
        <v>1110</v>
      </c>
      <c r="M181" s="31">
        <f>8098</f>
        <v>8098</v>
      </c>
      <c r="N181" s="32" t="s">
        <v>1110</v>
      </c>
      <c r="O181" s="31">
        <f>7694</f>
        <v>7694</v>
      </c>
      <c r="P181" s="32" t="s">
        <v>674</v>
      </c>
      <c r="Q181" s="31">
        <f>7850</f>
        <v>7850</v>
      </c>
      <c r="R181" s="32" t="s">
        <v>883</v>
      </c>
      <c r="S181" s="33">
        <f>7879.26</f>
        <v>7879.26</v>
      </c>
      <c r="T181" s="30">
        <f>5844</f>
        <v>5844</v>
      </c>
      <c r="U181" s="30">
        <f>20</f>
        <v>20</v>
      </c>
      <c r="V181" s="30">
        <f>46000325</f>
        <v>46000325</v>
      </c>
      <c r="W181" s="30">
        <f>156000</f>
        <v>156000</v>
      </c>
      <c r="X181" s="34">
        <f>19</f>
        <v>19</v>
      </c>
    </row>
    <row r="182" spans="1:24">
      <c r="A182" s="25" t="s">
        <v>1109</v>
      </c>
      <c r="B182" s="25" t="s">
        <v>475</v>
      </c>
      <c r="C182" s="25" t="s">
        <v>476</v>
      </c>
      <c r="D182" s="25" t="s">
        <v>477</v>
      </c>
      <c r="E182" s="26" t="s">
        <v>43</v>
      </c>
      <c r="F182" s="27" t="s">
        <v>43</v>
      </c>
      <c r="G182" s="28" t="s">
        <v>43</v>
      </c>
      <c r="H182" s="29"/>
      <c r="I182" s="29" t="s">
        <v>465</v>
      </c>
      <c r="J182" s="30">
        <v>1</v>
      </c>
      <c r="K182" s="31">
        <f>38610</f>
        <v>38610</v>
      </c>
      <c r="L182" s="32" t="s">
        <v>1110</v>
      </c>
      <c r="M182" s="31">
        <f>40260</f>
        <v>40260</v>
      </c>
      <c r="N182" s="32" t="s">
        <v>1114</v>
      </c>
      <c r="O182" s="31">
        <f>38370</f>
        <v>38370</v>
      </c>
      <c r="P182" s="32" t="s">
        <v>1117</v>
      </c>
      <c r="Q182" s="31">
        <f>40040</f>
        <v>40040</v>
      </c>
      <c r="R182" s="32" t="s">
        <v>883</v>
      </c>
      <c r="S182" s="33">
        <f>39226.84</f>
        <v>39226.839999999997</v>
      </c>
      <c r="T182" s="30">
        <f>25967</f>
        <v>25967</v>
      </c>
      <c r="U182" s="30">
        <f>120</f>
        <v>120</v>
      </c>
      <c r="V182" s="30">
        <f>1019038070</f>
        <v>1019038070</v>
      </c>
      <c r="W182" s="30">
        <f>4689270</f>
        <v>4689270</v>
      </c>
      <c r="X182" s="34">
        <f>19</f>
        <v>19</v>
      </c>
    </row>
    <row r="183" spans="1:24">
      <c r="A183" s="25" t="s">
        <v>1109</v>
      </c>
      <c r="B183" s="25" t="s">
        <v>478</v>
      </c>
      <c r="C183" s="25" t="s">
        <v>479</v>
      </c>
      <c r="D183" s="25" t="s">
        <v>480</v>
      </c>
      <c r="E183" s="26" t="s">
        <v>43</v>
      </c>
      <c r="F183" s="27" t="s">
        <v>43</v>
      </c>
      <c r="G183" s="28" t="s">
        <v>43</v>
      </c>
      <c r="H183" s="29"/>
      <c r="I183" s="29" t="s">
        <v>465</v>
      </c>
      <c r="J183" s="30">
        <v>1</v>
      </c>
      <c r="K183" s="31">
        <f>3435</f>
        <v>3435</v>
      </c>
      <c r="L183" s="32" t="s">
        <v>1110</v>
      </c>
      <c r="M183" s="31">
        <f>3475</f>
        <v>3475</v>
      </c>
      <c r="N183" s="32" t="s">
        <v>1110</v>
      </c>
      <c r="O183" s="31">
        <f>3385</f>
        <v>3385</v>
      </c>
      <c r="P183" s="32" t="s">
        <v>876</v>
      </c>
      <c r="Q183" s="31">
        <f>3420</f>
        <v>3420</v>
      </c>
      <c r="R183" s="32" t="s">
        <v>883</v>
      </c>
      <c r="S183" s="33">
        <f>3429.47</f>
        <v>3429.47</v>
      </c>
      <c r="T183" s="30">
        <f>7227</f>
        <v>7227</v>
      </c>
      <c r="U183" s="30" t="str">
        <f>"－"</f>
        <v>－</v>
      </c>
      <c r="V183" s="30">
        <f>24778425</f>
        <v>24778425</v>
      </c>
      <c r="W183" s="30" t="str">
        <f>"－"</f>
        <v>－</v>
      </c>
      <c r="X183" s="34">
        <f>19</f>
        <v>19</v>
      </c>
    </row>
    <row r="184" spans="1:24">
      <c r="A184" s="25" t="s">
        <v>1109</v>
      </c>
      <c r="B184" s="25" t="s">
        <v>481</v>
      </c>
      <c r="C184" s="25" t="s">
        <v>482</v>
      </c>
      <c r="D184" s="25" t="s">
        <v>483</v>
      </c>
      <c r="E184" s="26" t="s">
        <v>43</v>
      </c>
      <c r="F184" s="27" t="s">
        <v>43</v>
      </c>
      <c r="G184" s="28" t="s">
        <v>43</v>
      </c>
      <c r="H184" s="29"/>
      <c r="I184" s="29" t="s">
        <v>465</v>
      </c>
      <c r="J184" s="30">
        <v>1</v>
      </c>
      <c r="K184" s="31">
        <f>1796</f>
        <v>1796</v>
      </c>
      <c r="L184" s="32" t="s">
        <v>1110</v>
      </c>
      <c r="M184" s="31">
        <f>1961</f>
        <v>1961</v>
      </c>
      <c r="N184" s="32" t="s">
        <v>1118</v>
      </c>
      <c r="O184" s="31">
        <f>1708</f>
        <v>1708</v>
      </c>
      <c r="P184" s="32" t="s">
        <v>674</v>
      </c>
      <c r="Q184" s="31">
        <f>1920</f>
        <v>1920</v>
      </c>
      <c r="R184" s="32" t="s">
        <v>883</v>
      </c>
      <c r="S184" s="33">
        <f>1862.84</f>
        <v>1862.84</v>
      </c>
      <c r="T184" s="30">
        <f>9188906</f>
        <v>9188906</v>
      </c>
      <c r="U184" s="30">
        <f>53</f>
        <v>53</v>
      </c>
      <c r="V184" s="30">
        <f>17066218647</f>
        <v>17066218647</v>
      </c>
      <c r="W184" s="30">
        <f>101390</f>
        <v>101390</v>
      </c>
      <c r="X184" s="34">
        <f>19</f>
        <v>19</v>
      </c>
    </row>
    <row r="185" spans="1:24">
      <c r="A185" s="25" t="s">
        <v>1109</v>
      </c>
      <c r="B185" s="25" t="s">
        <v>484</v>
      </c>
      <c r="C185" s="25" t="s">
        <v>485</v>
      </c>
      <c r="D185" s="25" t="s">
        <v>486</v>
      </c>
      <c r="E185" s="26" t="s">
        <v>43</v>
      </c>
      <c r="F185" s="27" t="s">
        <v>43</v>
      </c>
      <c r="G185" s="28" t="s">
        <v>43</v>
      </c>
      <c r="H185" s="29"/>
      <c r="I185" s="29" t="s">
        <v>465</v>
      </c>
      <c r="J185" s="30">
        <v>1</v>
      </c>
      <c r="K185" s="31">
        <f>1066</f>
        <v>1066</v>
      </c>
      <c r="L185" s="32" t="s">
        <v>1110</v>
      </c>
      <c r="M185" s="31">
        <f>1094</f>
        <v>1094</v>
      </c>
      <c r="N185" s="32" t="s">
        <v>674</v>
      </c>
      <c r="O185" s="31">
        <f>1029</f>
        <v>1029</v>
      </c>
      <c r="P185" s="32" t="s">
        <v>1118</v>
      </c>
      <c r="Q185" s="31">
        <f>1036</f>
        <v>1036</v>
      </c>
      <c r="R185" s="32" t="s">
        <v>883</v>
      </c>
      <c r="S185" s="33">
        <f>1052.26</f>
        <v>1052.26</v>
      </c>
      <c r="T185" s="30">
        <f>1031884</f>
        <v>1031884</v>
      </c>
      <c r="U185" s="30" t="str">
        <f>"－"</f>
        <v>－</v>
      </c>
      <c r="V185" s="30">
        <f>1085876477</f>
        <v>1085876477</v>
      </c>
      <c r="W185" s="30" t="str">
        <f>"－"</f>
        <v>－</v>
      </c>
      <c r="X185" s="34">
        <f>19</f>
        <v>19</v>
      </c>
    </row>
    <row r="186" spans="1:24">
      <c r="A186" s="25" t="s">
        <v>1109</v>
      </c>
      <c r="B186" s="25" t="s">
        <v>487</v>
      </c>
      <c r="C186" s="25" t="s">
        <v>488</v>
      </c>
      <c r="D186" s="25" t="s">
        <v>489</v>
      </c>
      <c r="E186" s="26" t="s">
        <v>43</v>
      </c>
      <c r="F186" s="27" t="s">
        <v>43</v>
      </c>
      <c r="G186" s="28" t="s">
        <v>43</v>
      </c>
      <c r="H186" s="29"/>
      <c r="I186" s="29" t="s">
        <v>465</v>
      </c>
      <c r="J186" s="30">
        <v>1</v>
      </c>
      <c r="K186" s="31">
        <f>28240</f>
        <v>28240</v>
      </c>
      <c r="L186" s="32" t="s">
        <v>1110</v>
      </c>
      <c r="M186" s="31">
        <f>29200</f>
        <v>29200</v>
      </c>
      <c r="N186" s="32" t="s">
        <v>676</v>
      </c>
      <c r="O186" s="31">
        <f>28040</f>
        <v>28040</v>
      </c>
      <c r="P186" s="32" t="s">
        <v>1110</v>
      </c>
      <c r="Q186" s="31">
        <f>28955</f>
        <v>28955</v>
      </c>
      <c r="R186" s="32" t="s">
        <v>883</v>
      </c>
      <c r="S186" s="33">
        <f>28643.42</f>
        <v>28643.42</v>
      </c>
      <c r="T186" s="30">
        <f>25585</f>
        <v>25585</v>
      </c>
      <c r="U186" s="30" t="str">
        <f>"－"</f>
        <v>－</v>
      </c>
      <c r="V186" s="30">
        <f>734779045</f>
        <v>734779045</v>
      </c>
      <c r="W186" s="30" t="str">
        <f>"－"</f>
        <v>－</v>
      </c>
      <c r="X186" s="34">
        <f>19</f>
        <v>19</v>
      </c>
    </row>
    <row r="187" spans="1:24">
      <c r="A187" s="25" t="s">
        <v>1109</v>
      </c>
      <c r="B187" s="25" t="s">
        <v>490</v>
      </c>
      <c r="C187" s="25" t="s">
        <v>491</v>
      </c>
      <c r="D187" s="25" t="s">
        <v>492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2622</f>
        <v>2622</v>
      </c>
      <c r="L187" s="32" t="s">
        <v>1110</v>
      </c>
      <c r="M187" s="31">
        <f>2626</f>
        <v>2626</v>
      </c>
      <c r="N187" s="32" t="s">
        <v>1124</v>
      </c>
      <c r="O187" s="31">
        <f>2545</f>
        <v>2545</v>
      </c>
      <c r="P187" s="32" t="s">
        <v>676</v>
      </c>
      <c r="Q187" s="31">
        <f>2561</f>
        <v>2561</v>
      </c>
      <c r="R187" s="32" t="s">
        <v>883</v>
      </c>
      <c r="S187" s="33">
        <f>2585.79</f>
        <v>2585.79</v>
      </c>
      <c r="T187" s="30">
        <f>172052</f>
        <v>172052</v>
      </c>
      <c r="U187" s="30">
        <f>215</f>
        <v>215</v>
      </c>
      <c r="V187" s="30">
        <f>445700000</f>
        <v>445700000</v>
      </c>
      <c r="W187" s="30">
        <f>552865</f>
        <v>552865</v>
      </c>
      <c r="X187" s="34">
        <f>19</f>
        <v>19</v>
      </c>
    </row>
    <row r="188" spans="1:24">
      <c r="A188" s="25" t="s">
        <v>1109</v>
      </c>
      <c r="B188" s="25" t="s">
        <v>493</v>
      </c>
      <c r="C188" s="25" t="s">
        <v>1057</v>
      </c>
      <c r="D188" s="25" t="s">
        <v>1058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7582</f>
        <v>7582</v>
      </c>
      <c r="L188" s="32" t="s">
        <v>1110</v>
      </c>
      <c r="M188" s="31">
        <f>8385</f>
        <v>8385</v>
      </c>
      <c r="N188" s="32" t="s">
        <v>1114</v>
      </c>
      <c r="O188" s="31">
        <f>7466</f>
        <v>7466</v>
      </c>
      <c r="P188" s="32" t="s">
        <v>1115</v>
      </c>
      <c r="Q188" s="31">
        <f>8286</f>
        <v>8286</v>
      </c>
      <c r="R188" s="32" t="s">
        <v>883</v>
      </c>
      <c r="S188" s="33">
        <f>7821.79</f>
        <v>7821.79</v>
      </c>
      <c r="T188" s="30">
        <f>123400</f>
        <v>123400</v>
      </c>
      <c r="U188" s="30">
        <f>4960</f>
        <v>4960</v>
      </c>
      <c r="V188" s="30">
        <f>979848819</f>
        <v>979848819</v>
      </c>
      <c r="W188" s="30">
        <f>39038306</f>
        <v>39038306</v>
      </c>
      <c r="X188" s="34">
        <f>19</f>
        <v>19</v>
      </c>
    </row>
    <row r="189" spans="1:24">
      <c r="A189" s="25" t="s">
        <v>1109</v>
      </c>
      <c r="B189" s="25" t="s">
        <v>494</v>
      </c>
      <c r="C189" s="25" t="s">
        <v>495</v>
      </c>
      <c r="D189" s="25" t="s">
        <v>496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17055</f>
        <v>17055</v>
      </c>
      <c r="L189" s="32" t="s">
        <v>1116</v>
      </c>
      <c r="M189" s="31">
        <f>18430</f>
        <v>18430</v>
      </c>
      <c r="N189" s="32" t="s">
        <v>874</v>
      </c>
      <c r="O189" s="31">
        <f>17055</f>
        <v>17055</v>
      </c>
      <c r="P189" s="32" t="s">
        <v>1116</v>
      </c>
      <c r="Q189" s="31">
        <f>17840</f>
        <v>17840</v>
      </c>
      <c r="R189" s="32" t="s">
        <v>883</v>
      </c>
      <c r="S189" s="33">
        <f>17783</f>
        <v>17783</v>
      </c>
      <c r="T189" s="30">
        <f>597</f>
        <v>597</v>
      </c>
      <c r="U189" s="30" t="str">
        <f>"－"</f>
        <v>－</v>
      </c>
      <c r="V189" s="30">
        <f>10608940</f>
        <v>10608940</v>
      </c>
      <c r="W189" s="30" t="str">
        <f>"－"</f>
        <v>－</v>
      </c>
      <c r="X189" s="34">
        <f>15</f>
        <v>15</v>
      </c>
    </row>
    <row r="190" spans="1:24">
      <c r="A190" s="25" t="s">
        <v>1109</v>
      </c>
      <c r="B190" s="25" t="s">
        <v>497</v>
      </c>
      <c r="C190" s="25" t="s">
        <v>498</v>
      </c>
      <c r="D190" s="25" t="s">
        <v>499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26725</f>
        <v>26725</v>
      </c>
      <c r="L190" s="32" t="s">
        <v>1110</v>
      </c>
      <c r="M190" s="31">
        <f>27610</f>
        <v>27610</v>
      </c>
      <c r="N190" s="32" t="s">
        <v>883</v>
      </c>
      <c r="O190" s="31">
        <f>26370</f>
        <v>26370</v>
      </c>
      <c r="P190" s="32" t="s">
        <v>1110</v>
      </c>
      <c r="Q190" s="31">
        <f>27610</f>
        <v>27610</v>
      </c>
      <c r="R190" s="32" t="s">
        <v>883</v>
      </c>
      <c r="S190" s="33">
        <f>27076.58</f>
        <v>27076.58</v>
      </c>
      <c r="T190" s="30">
        <f>15943</f>
        <v>15943</v>
      </c>
      <c r="U190" s="30">
        <f>1</f>
        <v>1</v>
      </c>
      <c r="V190" s="30">
        <f>430213500</f>
        <v>430213500</v>
      </c>
      <c r="W190" s="30">
        <f>27600</f>
        <v>27600</v>
      </c>
      <c r="X190" s="34">
        <f>19</f>
        <v>19</v>
      </c>
    </row>
    <row r="191" spans="1:24">
      <c r="A191" s="25" t="s">
        <v>1109</v>
      </c>
      <c r="B191" s="25" t="s">
        <v>500</v>
      </c>
      <c r="C191" s="25" t="s">
        <v>501</v>
      </c>
      <c r="D191" s="25" t="s">
        <v>502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16195</f>
        <v>16195</v>
      </c>
      <c r="L191" s="32" t="s">
        <v>1110</v>
      </c>
      <c r="M191" s="31">
        <f>16595</f>
        <v>16595</v>
      </c>
      <c r="N191" s="32" t="s">
        <v>680</v>
      </c>
      <c r="O191" s="31">
        <f>15900</f>
        <v>15900</v>
      </c>
      <c r="P191" s="32" t="s">
        <v>1115</v>
      </c>
      <c r="Q191" s="31">
        <f>15995</f>
        <v>15995</v>
      </c>
      <c r="R191" s="32" t="s">
        <v>883</v>
      </c>
      <c r="S191" s="33">
        <f>16202.86</f>
        <v>16202.86</v>
      </c>
      <c r="T191" s="30">
        <f>235</f>
        <v>235</v>
      </c>
      <c r="U191" s="30" t="str">
        <f>"－"</f>
        <v>－</v>
      </c>
      <c r="V191" s="30">
        <f>3808635</f>
        <v>3808635</v>
      </c>
      <c r="W191" s="30" t="str">
        <f>"－"</f>
        <v>－</v>
      </c>
      <c r="X191" s="34">
        <f>14</f>
        <v>14</v>
      </c>
    </row>
    <row r="192" spans="1:24">
      <c r="A192" s="25" t="s">
        <v>1109</v>
      </c>
      <c r="B192" s="25" t="s">
        <v>503</v>
      </c>
      <c r="C192" s="25" t="s">
        <v>504</v>
      </c>
      <c r="D192" s="25" t="s">
        <v>505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27350</f>
        <v>27350</v>
      </c>
      <c r="L192" s="32" t="s">
        <v>1110</v>
      </c>
      <c r="M192" s="31">
        <f>29580</f>
        <v>29580</v>
      </c>
      <c r="N192" s="32" t="s">
        <v>1114</v>
      </c>
      <c r="O192" s="31">
        <f>27200</f>
        <v>27200</v>
      </c>
      <c r="P192" s="32" t="s">
        <v>1110</v>
      </c>
      <c r="Q192" s="31">
        <f>28700</f>
        <v>28700</v>
      </c>
      <c r="R192" s="32" t="s">
        <v>883</v>
      </c>
      <c r="S192" s="33">
        <f>28267.63</f>
        <v>28267.63</v>
      </c>
      <c r="T192" s="30">
        <f>90781</f>
        <v>90781</v>
      </c>
      <c r="U192" s="30">
        <f>143</f>
        <v>143</v>
      </c>
      <c r="V192" s="30">
        <f>2576518640</f>
        <v>2576518640</v>
      </c>
      <c r="W192" s="30">
        <f>3949595</f>
        <v>3949595</v>
      </c>
      <c r="X192" s="34">
        <f>19</f>
        <v>19</v>
      </c>
    </row>
    <row r="193" spans="1:24">
      <c r="A193" s="25" t="s">
        <v>1109</v>
      </c>
      <c r="B193" s="25" t="s">
        <v>506</v>
      </c>
      <c r="C193" s="25" t="s">
        <v>507</v>
      </c>
      <c r="D193" s="25" t="s">
        <v>508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3890</f>
        <v>3890</v>
      </c>
      <c r="L193" s="32" t="s">
        <v>1110</v>
      </c>
      <c r="M193" s="31">
        <f>4035</f>
        <v>4035</v>
      </c>
      <c r="N193" s="32" t="s">
        <v>1117</v>
      </c>
      <c r="O193" s="31">
        <f>3805</f>
        <v>3805</v>
      </c>
      <c r="P193" s="32" t="s">
        <v>1115</v>
      </c>
      <c r="Q193" s="31">
        <f>3925</f>
        <v>3925</v>
      </c>
      <c r="R193" s="32" t="s">
        <v>883</v>
      </c>
      <c r="S193" s="33">
        <f>3910.79</f>
        <v>3910.79</v>
      </c>
      <c r="T193" s="30">
        <f>2942</f>
        <v>2942</v>
      </c>
      <c r="U193" s="30" t="str">
        <f t="shared" ref="U193:U204" si="2">"－"</f>
        <v>－</v>
      </c>
      <c r="V193" s="30">
        <f>11477360</f>
        <v>11477360</v>
      </c>
      <c r="W193" s="30" t="str">
        <f t="shared" ref="W193:W204" si="3">"－"</f>
        <v>－</v>
      </c>
      <c r="X193" s="34">
        <f>19</f>
        <v>19</v>
      </c>
    </row>
    <row r="194" spans="1:24">
      <c r="A194" s="25" t="s">
        <v>1109</v>
      </c>
      <c r="B194" s="25" t="s">
        <v>509</v>
      </c>
      <c r="C194" s="25" t="s">
        <v>510</v>
      </c>
      <c r="D194" s="25" t="s">
        <v>511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25935</f>
        <v>25935</v>
      </c>
      <c r="L194" s="32" t="s">
        <v>1110</v>
      </c>
      <c r="M194" s="31">
        <f>27670</f>
        <v>27670</v>
      </c>
      <c r="N194" s="32" t="s">
        <v>1114</v>
      </c>
      <c r="O194" s="31">
        <f>25385</f>
        <v>25385</v>
      </c>
      <c r="P194" s="32" t="s">
        <v>1116</v>
      </c>
      <c r="Q194" s="31">
        <f>27300</f>
        <v>27300</v>
      </c>
      <c r="R194" s="32" t="s">
        <v>883</v>
      </c>
      <c r="S194" s="33">
        <f>26624.44</f>
        <v>26624.44</v>
      </c>
      <c r="T194" s="30">
        <f>1383</f>
        <v>1383</v>
      </c>
      <c r="U194" s="30" t="str">
        <f t="shared" si="2"/>
        <v>－</v>
      </c>
      <c r="V194" s="30">
        <f>36821340</f>
        <v>36821340</v>
      </c>
      <c r="W194" s="30" t="str">
        <f t="shared" si="3"/>
        <v>－</v>
      </c>
      <c r="X194" s="34">
        <f>18</f>
        <v>18</v>
      </c>
    </row>
    <row r="195" spans="1:24">
      <c r="A195" s="25" t="s">
        <v>1109</v>
      </c>
      <c r="B195" s="25" t="s">
        <v>512</v>
      </c>
      <c r="C195" s="25" t="s">
        <v>513</v>
      </c>
      <c r="D195" s="25" t="s">
        <v>514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17400</f>
        <v>17400</v>
      </c>
      <c r="L195" s="32" t="s">
        <v>674</v>
      </c>
      <c r="M195" s="31">
        <f>17935</f>
        <v>17935</v>
      </c>
      <c r="N195" s="32" t="s">
        <v>676</v>
      </c>
      <c r="O195" s="31">
        <f>17320</f>
        <v>17320</v>
      </c>
      <c r="P195" s="32" t="s">
        <v>1123</v>
      </c>
      <c r="Q195" s="31">
        <f>17735</f>
        <v>17735</v>
      </c>
      <c r="R195" s="32" t="s">
        <v>883</v>
      </c>
      <c r="S195" s="33">
        <f>17597.5</f>
        <v>17597.5</v>
      </c>
      <c r="T195" s="30">
        <f>65</f>
        <v>65</v>
      </c>
      <c r="U195" s="30" t="str">
        <f t="shared" si="2"/>
        <v>－</v>
      </c>
      <c r="V195" s="30">
        <f>1140950</f>
        <v>1140950</v>
      </c>
      <c r="W195" s="30" t="str">
        <f t="shared" si="3"/>
        <v>－</v>
      </c>
      <c r="X195" s="34">
        <f>10</f>
        <v>10</v>
      </c>
    </row>
    <row r="196" spans="1:24">
      <c r="A196" s="25" t="s">
        <v>1109</v>
      </c>
      <c r="B196" s="25" t="s">
        <v>515</v>
      </c>
      <c r="C196" s="25" t="s">
        <v>516</v>
      </c>
      <c r="D196" s="25" t="s">
        <v>517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29300</f>
        <v>29300</v>
      </c>
      <c r="L196" s="32" t="s">
        <v>1110</v>
      </c>
      <c r="M196" s="31">
        <f>31370</f>
        <v>31370</v>
      </c>
      <c r="N196" s="32" t="s">
        <v>1114</v>
      </c>
      <c r="O196" s="31">
        <f>29300</f>
        <v>29300</v>
      </c>
      <c r="P196" s="32" t="s">
        <v>1110</v>
      </c>
      <c r="Q196" s="31">
        <f>31000</f>
        <v>31000</v>
      </c>
      <c r="R196" s="32" t="s">
        <v>1114</v>
      </c>
      <c r="S196" s="33">
        <f>30288.57</f>
        <v>30288.57</v>
      </c>
      <c r="T196" s="30">
        <f>191</f>
        <v>191</v>
      </c>
      <c r="U196" s="30" t="str">
        <f t="shared" si="2"/>
        <v>－</v>
      </c>
      <c r="V196" s="30">
        <f>5807880</f>
        <v>5807880</v>
      </c>
      <c r="W196" s="30" t="str">
        <f t="shared" si="3"/>
        <v>－</v>
      </c>
      <c r="X196" s="34">
        <f>14</f>
        <v>14</v>
      </c>
    </row>
    <row r="197" spans="1:24">
      <c r="A197" s="25" t="s">
        <v>1109</v>
      </c>
      <c r="B197" s="25" t="s">
        <v>518</v>
      </c>
      <c r="C197" s="25" t="s">
        <v>519</v>
      </c>
      <c r="D197" s="25" t="s">
        <v>520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18270</f>
        <v>18270</v>
      </c>
      <c r="L197" s="32" t="s">
        <v>680</v>
      </c>
      <c r="M197" s="31">
        <f>18470</f>
        <v>18470</v>
      </c>
      <c r="N197" s="32" t="s">
        <v>1111</v>
      </c>
      <c r="O197" s="31">
        <f>18270</f>
        <v>18270</v>
      </c>
      <c r="P197" s="32" t="s">
        <v>680</v>
      </c>
      <c r="Q197" s="31">
        <f>18390</f>
        <v>18390</v>
      </c>
      <c r="R197" s="32" t="s">
        <v>1114</v>
      </c>
      <c r="S197" s="33">
        <f>18376.67</f>
        <v>18376.669999999998</v>
      </c>
      <c r="T197" s="30">
        <f>5695</f>
        <v>5695</v>
      </c>
      <c r="U197" s="30" t="str">
        <f t="shared" si="2"/>
        <v>－</v>
      </c>
      <c r="V197" s="30">
        <f>104837250</f>
        <v>104837250</v>
      </c>
      <c r="W197" s="30" t="str">
        <f t="shared" si="3"/>
        <v>－</v>
      </c>
      <c r="X197" s="34">
        <f>3</f>
        <v>3</v>
      </c>
    </row>
    <row r="198" spans="1:24">
      <c r="A198" s="25" t="s">
        <v>1109</v>
      </c>
      <c r="B198" s="25" t="s">
        <v>521</v>
      </c>
      <c r="C198" s="25" t="s">
        <v>522</v>
      </c>
      <c r="D198" s="25" t="s">
        <v>523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17815</f>
        <v>17815</v>
      </c>
      <c r="L198" s="32" t="s">
        <v>1116</v>
      </c>
      <c r="M198" s="31">
        <f>18930</f>
        <v>18930</v>
      </c>
      <c r="N198" s="32" t="s">
        <v>676</v>
      </c>
      <c r="O198" s="31">
        <f>17700</f>
        <v>17700</v>
      </c>
      <c r="P198" s="32" t="s">
        <v>1116</v>
      </c>
      <c r="Q198" s="31">
        <f>18730</f>
        <v>18730</v>
      </c>
      <c r="R198" s="32" t="s">
        <v>883</v>
      </c>
      <c r="S198" s="33">
        <f>18370</f>
        <v>18370</v>
      </c>
      <c r="T198" s="30">
        <f>993</f>
        <v>993</v>
      </c>
      <c r="U198" s="30" t="str">
        <f t="shared" si="2"/>
        <v>－</v>
      </c>
      <c r="V198" s="30">
        <f>18209730</f>
        <v>18209730</v>
      </c>
      <c r="W198" s="30" t="str">
        <f t="shared" si="3"/>
        <v>－</v>
      </c>
      <c r="X198" s="34">
        <f>16</f>
        <v>16</v>
      </c>
    </row>
    <row r="199" spans="1:24">
      <c r="A199" s="25" t="s">
        <v>1109</v>
      </c>
      <c r="B199" s="25" t="s">
        <v>524</v>
      </c>
      <c r="C199" s="25" t="s">
        <v>525</v>
      </c>
      <c r="D199" s="25" t="s">
        <v>526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20835</f>
        <v>20835</v>
      </c>
      <c r="L199" s="32" t="s">
        <v>1110</v>
      </c>
      <c r="M199" s="31">
        <f>21000</f>
        <v>21000</v>
      </c>
      <c r="N199" s="32" t="s">
        <v>1124</v>
      </c>
      <c r="O199" s="31">
        <f>20725</f>
        <v>20725</v>
      </c>
      <c r="P199" s="32" t="s">
        <v>1110</v>
      </c>
      <c r="Q199" s="31">
        <f>21000</f>
        <v>21000</v>
      </c>
      <c r="R199" s="32" t="s">
        <v>1124</v>
      </c>
      <c r="S199" s="33">
        <f>20862.5</f>
        <v>20862.5</v>
      </c>
      <c r="T199" s="30">
        <f>39</f>
        <v>39</v>
      </c>
      <c r="U199" s="30" t="str">
        <f t="shared" si="2"/>
        <v>－</v>
      </c>
      <c r="V199" s="30">
        <f>813885</f>
        <v>813885</v>
      </c>
      <c r="W199" s="30" t="str">
        <f t="shared" si="3"/>
        <v>－</v>
      </c>
      <c r="X199" s="34">
        <f>2</f>
        <v>2</v>
      </c>
    </row>
    <row r="200" spans="1:24">
      <c r="A200" s="25" t="s">
        <v>1109</v>
      </c>
      <c r="B200" s="25" t="s">
        <v>527</v>
      </c>
      <c r="C200" s="25" t="s">
        <v>528</v>
      </c>
      <c r="D200" s="25" t="s">
        <v>529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17450</f>
        <v>17450</v>
      </c>
      <c r="L200" s="32" t="s">
        <v>1116</v>
      </c>
      <c r="M200" s="31">
        <f>17450</f>
        <v>17450</v>
      </c>
      <c r="N200" s="32" t="s">
        <v>1116</v>
      </c>
      <c r="O200" s="31">
        <f>17450</f>
        <v>17450</v>
      </c>
      <c r="P200" s="32" t="s">
        <v>1116</v>
      </c>
      <c r="Q200" s="31">
        <f>17450</f>
        <v>17450</v>
      </c>
      <c r="R200" s="32" t="s">
        <v>1116</v>
      </c>
      <c r="S200" s="33">
        <f>17450</f>
        <v>17450</v>
      </c>
      <c r="T200" s="30">
        <f>8</f>
        <v>8</v>
      </c>
      <c r="U200" s="30" t="str">
        <f t="shared" si="2"/>
        <v>－</v>
      </c>
      <c r="V200" s="30">
        <f>139600</f>
        <v>139600</v>
      </c>
      <c r="W200" s="30" t="str">
        <f t="shared" si="3"/>
        <v>－</v>
      </c>
      <c r="X200" s="34">
        <f>1</f>
        <v>1</v>
      </c>
    </row>
    <row r="201" spans="1:24">
      <c r="A201" s="25" t="s">
        <v>1109</v>
      </c>
      <c r="B201" s="25" t="s">
        <v>530</v>
      </c>
      <c r="C201" s="25" t="s">
        <v>531</v>
      </c>
      <c r="D201" s="25" t="s">
        <v>532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11045</f>
        <v>11045</v>
      </c>
      <c r="L201" s="32" t="s">
        <v>876</v>
      </c>
      <c r="M201" s="31">
        <f>11295</f>
        <v>11295</v>
      </c>
      <c r="N201" s="32" t="s">
        <v>1114</v>
      </c>
      <c r="O201" s="31">
        <f>11020</f>
        <v>11020</v>
      </c>
      <c r="P201" s="32" t="s">
        <v>876</v>
      </c>
      <c r="Q201" s="31">
        <f>11295</f>
        <v>11295</v>
      </c>
      <c r="R201" s="32" t="s">
        <v>883</v>
      </c>
      <c r="S201" s="33">
        <f>11187.5</f>
        <v>11187.5</v>
      </c>
      <c r="T201" s="30">
        <f>1635</f>
        <v>1635</v>
      </c>
      <c r="U201" s="30" t="str">
        <f t="shared" si="2"/>
        <v>－</v>
      </c>
      <c r="V201" s="30">
        <f>18288280</f>
        <v>18288280</v>
      </c>
      <c r="W201" s="30" t="str">
        <f t="shared" si="3"/>
        <v>－</v>
      </c>
      <c r="X201" s="34">
        <f>8</f>
        <v>8</v>
      </c>
    </row>
    <row r="202" spans="1:24">
      <c r="A202" s="25" t="s">
        <v>1109</v>
      </c>
      <c r="B202" s="25" t="s">
        <v>533</v>
      </c>
      <c r="C202" s="25" t="s">
        <v>534</v>
      </c>
      <c r="D202" s="25" t="s">
        <v>535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13160</f>
        <v>13160</v>
      </c>
      <c r="L202" s="32" t="s">
        <v>1110</v>
      </c>
      <c r="M202" s="31">
        <f>13620</f>
        <v>13620</v>
      </c>
      <c r="N202" s="32" t="s">
        <v>676</v>
      </c>
      <c r="O202" s="31">
        <f>13160</f>
        <v>13160</v>
      </c>
      <c r="P202" s="32" t="s">
        <v>1110</v>
      </c>
      <c r="Q202" s="31">
        <f>13470</f>
        <v>13470</v>
      </c>
      <c r="R202" s="32" t="s">
        <v>883</v>
      </c>
      <c r="S202" s="33">
        <f>13382.11</f>
        <v>13382.11</v>
      </c>
      <c r="T202" s="30">
        <f>20371</f>
        <v>20371</v>
      </c>
      <c r="U202" s="30" t="str">
        <f t="shared" si="2"/>
        <v>－</v>
      </c>
      <c r="V202" s="30">
        <f>272899410</f>
        <v>272899410</v>
      </c>
      <c r="W202" s="30" t="str">
        <f t="shared" si="3"/>
        <v>－</v>
      </c>
      <c r="X202" s="34">
        <f>19</f>
        <v>19</v>
      </c>
    </row>
    <row r="203" spans="1:24">
      <c r="A203" s="25" t="s">
        <v>1109</v>
      </c>
      <c r="B203" s="25" t="s">
        <v>536</v>
      </c>
      <c r="C203" s="25" t="s">
        <v>537</v>
      </c>
      <c r="D203" s="25" t="s">
        <v>538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12055</f>
        <v>12055</v>
      </c>
      <c r="L203" s="32" t="s">
        <v>1110</v>
      </c>
      <c r="M203" s="31">
        <f>12370</f>
        <v>12370</v>
      </c>
      <c r="N203" s="32" t="s">
        <v>1118</v>
      </c>
      <c r="O203" s="31">
        <f>12015</f>
        <v>12015</v>
      </c>
      <c r="P203" s="32" t="s">
        <v>1115</v>
      </c>
      <c r="Q203" s="31">
        <f>12245</f>
        <v>12245</v>
      </c>
      <c r="R203" s="32" t="s">
        <v>1114</v>
      </c>
      <c r="S203" s="33">
        <f>12185</f>
        <v>12185</v>
      </c>
      <c r="T203" s="30">
        <f>4954</f>
        <v>4954</v>
      </c>
      <c r="U203" s="30" t="str">
        <f t="shared" si="2"/>
        <v>－</v>
      </c>
      <c r="V203" s="30">
        <f>60401460</f>
        <v>60401460</v>
      </c>
      <c r="W203" s="30" t="str">
        <f t="shared" si="3"/>
        <v>－</v>
      </c>
      <c r="X203" s="34">
        <f>13</f>
        <v>13</v>
      </c>
    </row>
    <row r="204" spans="1:24">
      <c r="A204" s="25" t="s">
        <v>1109</v>
      </c>
      <c r="B204" s="25" t="s">
        <v>783</v>
      </c>
      <c r="C204" s="25" t="s">
        <v>784</v>
      </c>
      <c r="D204" s="25" t="s">
        <v>785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12210</f>
        <v>12210</v>
      </c>
      <c r="L204" s="32" t="s">
        <v>1110</v>
      </c>
      <c r="M204" s="31">
        <f>12430</f>
        <v>12430</v>
      </c>
      <c r="N204" s="32" t="s">
        <v>883</v>
      </c>
      <c r="O204" s="31">
        <f>12210</f>
        <v>12210</v>
      </c>
      <c r="P204" s="32" t="s">
        <v>1110</v>
      </c>
      <c r="Q204" s="31">
        <f>12430</f>
        <v>12430</v>
      </c>
      <c r="R204" s="32" t="s">
        <v>883</v>
      </c>
      <c r="S204" s="33">
        <f>12304</f>
        <v>12304</v>
      </c>
      <c r="T204" s="30">
        <f>533</f>
        <v>533</v>
      </c>
      <c r="U204" s="30" t="str">
        <f t="shared" si="2"/>
        <v>－</v>
      </c>
      <c r="V204" s="30">
        <f>6535730</f>
        <v>6535730</v>
      </c>
      <c r="W204" s="30" t="str">
        <f t="shared" si="3"/>
        <v>－</v>
      </c>
      <c r="X204" s="34">
        <f>5</f>
        <v>5</v>
      </c>
    </row>
    <row r="205" spans="1:24">
      <c r="A205" s="25" t="s">
        <v>1109</v>
      </c>
      <c r="B205" s="25" t="s">
        <v>991</v>
      </c>
      <c r="C205" s="25" t="s">
        <v>992</v>
      </c>
      <c r="D205" s="25" t="s">
        <v>993</v>
      </c>
      <c r="E205" s="26" t="s">
        <v>43</v>
      </c>
      <c r="F205" s="27" t="s">
        <v>43</v>
      </c>
      <c r="G205" s="28" t="s">
        <v>43</v>
      </c>
      <c r="H205" s="29"/>
      <c r="I205" s="29" t="s">
        <v>44</v>
      </c>
      <c r="J205" s="30">
        <v>1</v>
      </c>
      <c r="K205" s="31">
        <f>1076</f>
        <v>1076</v>
      </c>
      <c r="L205" s="32" t="s">
        <v>1110</v>
      </c>
      <c r="M205" s="31">
        <f>1135</f>
        <v>1135</v>
      </c>
      <c r="N205" s="32" t="s">
        <v>1114</v>
      </c>
      <c r="O205" s="31">
        <f>1068</f>
        <v>1068</v>
      </c>
      <c r="P205" s="32" t="s">
        <v>1116</v>
      </c>
      <c r="Q205" s="31">
        <f>1128</f>
        <v>1128</v>
      </c>
      <c r="R205" s="32" t="s">
        <v>883</v>
      </c>
      <c r="S205" s="33">
        <f>1097.68</f>
        <v>1097.68</v>
      </c>
      <c r="T205" s="30">
        <f>6391712</f>
        <v>6391712</v>
      </c>
      <c r="U205" s="30">
        <f>10658</f>
        <v>10658</v>
      </c>
      <c r="V205" s="30">
        <f>7033841814</f>
        <v>7033841814</v>
      </c>
      <c r="W205" s="30">
        <f>11820405</f>
        <v>11820405</v>
      </c>
      <c r="X205" s="34">
        <f>19</f>
        <v>19</v>
      </c>
    </row>
    <row r="206" spans="1:24">
      <c r="A206" s="25" t="s">
        <v>1109</v>
      </c>
      <c r="B206" s="25" t="s">
        <v>994</v>
      </c>
      <c r="C206" s="25" t="s">
        <v>995</v>
      </c>
      <c r="D206" s="25" t="s">
        <v>996</v>
      </c>
      <c r="E206" s="26" t="s">
        <v>43</v>
      </c>
      <c r="F206" s="27" t="s">
        <v>43</v>
      </c>
      <c r="G206" s="28" t="s">
        <v>43</v>
      </c>
      <c r="H206" s="29"/>
      <c r="I206" s="29" t="s">
        <v>44</v>
      </c>
      <c r="J206" s="30">
        <v>1</v>
      </c>
      <c r="K206" s="31">
        <f>1068</f>
        <v>1068</v>
      </c>
      <c r="L206" s="32" t="s">
        <v>1110</v>
      </c>
      <c r="M206" s="31">
        <f>1199</f>
        <v>1199</v>
      </c>
      <c r="N206" s="32" t="s">
        <v>760</v>
      </c>
      <c r="O206" s="31">
        <f>1066</f>
        <v>1066</v>
      </c>
      <c r="P206" s="32" t="s">
        <v>1110</v>
      </c>
      <c r="Q206" s="31">
        <f>1160</f>
        <v>1160</v>
      </c>
      <c r="R206" s="32" t="s">
        <v>883</v>
      </c>
      <c r="S206" s="33">
        <f>1120.32</f>
        <v>1120.32</v>
      </c>
      <c r="T206" s="30">
        <f>197636</f>
        <v>197636</v>
      </c>
      <c r="U206" s="30" t="str">
        <f>"－"</f>
        <v>－</v>
      </c>
      <c r="V206" s="30">
        <f>225433775</f>
        <v>225433775</v>
      </c>
      <c r="W206" s="30" t="str">
        <f>"－"</f>
        <v>－</v>
      </c>
      <c r="X206" s="34">
        <f>19</f>
        <v>19</v>
      </c>
    </row>
    <row r="207" spans="1:24">
      <c r="A207" s="25" t="s">
        <v>1109</v>
      </c>
      <c r="B207" s="25" t="s">
        <v>997</v>
      </c>
      <c r="C207" s="25" t="s">
        <v>998</v>
      </c>
      <c r="D207" s="25" t="s">
        <v>999</v>
      </c>
      <c r="E207" s="26" t="s">
        <v>43</v>
      </c>
      <c r="F207" s="27" t="s">
        <v>43</v>
      </c>
      <c r="G207" s="28" t="s">
        <v>43</v>
      </c>
      <c r="H207" s="29"/>
      <c r="I207" s="29" t="s">
        <v>44</v>
      </c>
      <c r="J207" s="30">
        <v>1</v>
      </c>
      <c r="K207" s="31">
        <f>1020</f>
        <v>1020</v>
      </c>
      <c r="L207" s="32" t="s">
        <v>1110</v>
      </c>
      <c r="M207" s="31">
        <f>1040</f>
        <v>1040</v>
      </c>
      <c r="N207" s="32" t="s">
        <v>876</v>
      </c>
      <c r="O207" s="31">
        <f>1004</f>
        <v>1004</v>
      </c>
      <c r="P207" s="32" t="s">
        <v>1117</v>
      </c>
      <c r="Q207" s="31">
        <f>1038</f>
        <v>1038</v>
      </c>
      <c r="R207" s="32" t="s">
        <v>883</v>
      </c>
      <c r="S207" s="33">
        <f>1022.16</f>
        <v>1022.16</v>
      </c>
      <c r="T207" s="30">
        <f>56283</f>
        <v>56283</v>
      </c>
      <c r="U207" s="30" t="str">
        <f>"－"</f>
        <v>－</v>
      </c>
      <c r="V207" s="30">
        <f>57457711</f>
        <v>57457711</v>
      </c>
      <c r="W207" s="30" t="str">
        <f>"－"</f>
        <v>－</v>
      </c>
      <c r="X207" s="34">
        <f>19</f>
        <v>19</v>
      </c>
    </row>
    <row r="208" spans="1:24">
      <c r="A208" s="25" t="s">
        <v>1109</v>
      </c>
      <c r="B208" s="25" t="s">
        <v>1000</v>
      </c>
      <c r="C208" s="25" t="s">
        <v>1001</v>
      </c>
      <c r="D208" s="25" t="s">
        <v>1002</v>
      </c>
      <c r="E208" s="26" t="s">
        <v>43</v>
      </c>
      <c r="F208" s="27" t="s">
        <v>43</v>
      </c>
      <c r="G208" s="28" t="s">
        <v>43</v>
      </c>
      <c r="H208" s="29"/>
      <c r="I208" s="29" t="s">
        <v>44</v>
      </c>
      <c r="J208" s="30">
        <v>1</v>
      </c>
      <c r="K208" s="31">
        <f>2109</f>
        <v>2109</v>
      </c>
      <c r="L208" s="32" t="s">
        <v>1110</v>
      </c>
      <c r="M208" s="31">
        <f>2259</f>
        <v>2259</v>
      </c>
      <c r="N208" s="32" t="s">
        <v>883</v>
      </c>
      <c r="O208" s="31">
        <f>2096</f>
        <v>2096</v>
      </c>
      <c r="P208" s="32" t="s">
        <v>1115</v>
      </c>
      <c r="Q208" s="31">
        <f>2258</f>
        <v>2258</v>
      </c>
      <c r="R208" s="32" t="s">
        <v>883</v>
      </c>
      <c r="S208" s="33">
        <f>2174.21</f>
        <v>2174.21</v>
      </c>
      <c r="T208" s="30">
        <f>438979</f>
        <v>438979</v>
      </c>
      <c r="U208" s="30" t="str">
        <f>"－"</f>
        <v>－</v>
      </c>
      <c r="V208" s="30">
        <f>949668574</f>
        <v>949668574</v>
      </c>
      <c r="W208" s="30" t="str">
        <f>"－"</f>
        <v>－</v>
      </c>
      <c r="X208" s="34">
        <f>19</f>
        <v>19</v>
      </c>
    </row>
    <row r="209" spans="1:24">
      <c r="A209" s="25" t="s">
        <v>1109</v>
      </c>
      <c r="B209" s="25" t="s">
        <v>1003</v>
      </c>
      <c r="C209" s="25" t="s">
        <v>1004</v>
      </c>
      <c r="D209" s="25" t="s">
        <v>1005</v>
      </c>
      <c r="E209" s="26" t="s">
        <v>43</v>
      </c>
      <c r="F209" s="27" t="s">
        <v>43</v>
      </c>
      <c r="G209" s="28" t="s">
        <v>43</v>
      </c>
      <c r="H209" s="29"/>
      <c r="I209" s="29" t="s">
        <v>44</v>
      </c>
      <c r="J209" s="30">
        <v>1</v>
      </c>
      <c r="K209" s="31">
        <f>2167</f>
        <v>2167</v>
      </c>
      <c r="L209" s="32" t="s">
        <v>1110</v>
      </c>
      <c r="M209" s="31">
        <f>2269</f>
        <v>2269</v>
      </c>
      <c r="N209" s="32" t="s">
        <v>1111</v>
      </c>
      <c r="O209" s="31">
        <f>2144</f>
        <v>2144</v>
      </c>
      <c r="P209" s="32" t="s">
        <v>876</v>
      </c>
      <c r="Q209" s="31">
        <f>2256</f>
        <v>2256</v>
      </c>
      <c r="R209" s="32" t="s">
        <v>883</v>
      </c>
      <c r="S209" s="33">
        <f>2201.74</f>
        <v>2201.7399999999998</v>
      </c>
      <c r="T209" s="30">
        <f>1161007</f>
        <v>1161007</v>
      </c>
      <c r="U209" s="30">
        <f>22700</f>
        <v>22700</v>
      </c>
      <c r="V209" s="30">
        <f>2560748704</f>
        <v>2560748704</v>
      </c>
      <c r="W209" s="30">
        <f>50272960</f>
        <v>50272960</v>
      </c>
      <c r="X209" s="34">
        <f>19</f>
        <v>19</v>
      </c>
    </row>
    <row r="210" spans="1:24">
      <c r="A210" s="25" t="s">
        <v>1109</v>
      </c>
      <c r="B210" s="25" t="s">
        <v>1006</v>
      </c>
      <c r="C210" s="25" t="s">
        <v>1007</v>
      </c>
      <c r="D210" s="25" t="s">
        <v>1008</v>
      </c>
      <c r="E210" s="26" t="s">
        <v>43</v>
      </c>
      <c r="F210" s="27" t="s">
        <v>43</v>
      </c>
      <c r="G210" s="28" t="s">
        <v>43</v>
      </c>
      <c r="H210" s="29"/>
      <c r="I210" s="29" t="s">
        <v>44</v>
      </c>
      <c r="J210" s="30">
        <v>10</v>
      </c>
      <c r="K210" s="31">
        <f>551.5</f>
        <v>551.5</v>
      </c>
      <c r="L210" s="32" t="s">
        <v>1110</v>
      </c>
      <c r="M210" s="31">
        <f>572.4</f>
        <v>572.4</v>
      </c>
      <c r="N210" s="32" t="s">
        <v>1114</v>
      </c>
      <c r="O210" s="31">
        <f>541.5</f>
        <v>541.5</v>
      </c>
      <c r="P210" s="32" t="s">
        <v>1116</v>
      </c>
      <c r="Q210" s="31">
        <f>566.1</f>
        <v>566.1</v>
      </c>
      <c r="R210" s="32" t="s">
        <v>883</v>
      </c>
      <c r="S210" s="33">
        <f>557.79</f>
        <v>557.79</v>
      </c>
      <c r="T210" s="30">
        <f>5339920</f>
        <v>5339920</v>
      </c>
      <c r="U210" s="30">
        <f>1950000</f>
        <v>1950000</v>
      </c>
      <c r="V210" s="30">
        <f>2971399315</f>
        <v>2971399315</v>
      </c>
      <c r="W210" s="30">
        <f>1080990000</f>
        <v>1080990000</v>
      </c>
      <c r="X210" s="34">
        <f>19</f>
        <v>19</v>
      </c>
    </row>
    <row r="211" spans="1:24">
      <c r="A211" s="25" t="s">
        <v>1109</v>
      </c>
      <c r="B211" s="25" t="s">
        <v>1009</v>
      </c>
      <c r="C211" s="25" t="s">
        <v>1010</v>
      </c>
      <c r="D211" s="25" t="s">
        <v>1011</v>
      </c>
      <c r="E211" s="26" t="s">
        <v>43</v>
      </c>
      <c r="F211" s="27" t="s">
        <v>43</v>
      </c>
      <c r="G211" s="28" t="s">
        <v>43</v>
      </c>
      <c r="H211" s="29"/>
      <c r="I211" s="29" t="s">
        <v>44</v>
      </c>
      <c r="J211" s="30">
        <v>10</v>
      </c>
      <c r="K211" s="31">
        <f>2162</f>
        <v>2162</v>
      </c>
      <c r="L211" s="32" t="s">
        <v>1110</v>
      </c>
      <c r="M211" s="31">
        <f>2261.5</f>
        <v>2261.5</v>
      </c>
      <c r="N211" s="32" t="s">
        <v>676</v>
      </c>
      <c r="O211" s="31">
        <f>2162</f>
        <v>2162</v>
      </c>
      <c r="P211" s="32" t="s">
        <v>1110</v>
      </c>
      <c r="Q211" s="31">
        <f>2252.5</f>
        <v>2252.5</v>
      </c>
      <c r="R211" s="32" t="s">
        <v>883</v>
      </c>
      <c r="S211" s="33">
        <f>2227.06</f>
        <v>2227.06</v>
      </c>
      <c r="T211" s="30">
        <f>495430</f>
        <v>495430</v>
      </c>
      <c r="U211" s="30">
        <f>494000</f>
        <v>494000</v>
      </c>
      <c r="V211" s="30">
        <f>1103176926</f>
        <v>1103176926</v>
      </c>
      <c r="W211" s="30">
        <f>1100010611</f>
        <v>1100010611</v>
      </c>
      <c r="X211" s="34">
        <f>9</f>
        <v>9</v>
      </c>
    </row>
    <row r="212" spans="1:24">
      <c r="A212" s="25" t="s">
        <v>1109</v>
      </c>
      <c r="B212" s="25" t="s">
        <v>1012</v>
      </c>
      <c r="C212" s="25" t="s">
        <v>1013</v>
      </c>
      <c r="D212" s="25" t="s">
        <v>1014</v>
      </c>
      <c r="E212" s="26" t="s">
        <v>43</v>
      </c>
      <c r="F212" s="27" t="s">
        <v>43</v>
      </c>
      <c r="G212" s="28" t="s">
        <v>43</v>
      </c>
      <c r="H212" s="29"/>
      <c r="I212" s="29" t="s">
        <v>44</v>
      </c>
      <c r="J212" s="30">
        <v>10</v>
      </c>
      <c r="K212" s="31">
        <f>2239.5</f>
        <v>2239.5</v>
      </c>
      <c r="L212" s="32" t="s">
        <v>1110</v>
      </c>
      <c r="M212" s="31">
        <f>2352</f>
        <v>2352</v>
      </c>
      <c r="N212" s="32" t="s">
        <v>1112</v>
      </c>
      <c r="O212" s="31">
        <f>2239.5</f>
        <v>2239.5</v>
      </c>
      <c r="P212" s="32" t="s">
        <v>1110</v>
      </c>
      <c r="Q212" s="31">
        <f>2320</f>
        <v>2320</v>
      </c>
      <c r="R212" s="32" t="s">
        <v>883</v>
      </c>
      <c r="S212" s="33">
        <f>2304.12</f>
        <v>2304.12</v>
      </c>
      <c r="T212" s="30">
        <f>3190</f>
        <v>3190</v>
      </c>
      <c r="U212" s="30" t="str">
        <f>"－"</f>
        <v>－</v>
      </c>
      <c r="V212" s="30">
        <f>7349125</f>
        <v>7349125</v>
      </c>
      <c r="W212" s="30" t="str">
        <f>"－"</f>
        <v>－</v>
      </c>
      <c r="X212" s="34">
        <f>17</f>
        <v>17</v>
      </c>
    </row>
    <row r="213" spans="1:24">
      <c r="A213" s="25" t="s">
        <v>1109</v>
      </c>
      <c r="B213" s="25" t="s">
        <v>1015</v>
      </c>
      <c r="C213" s="25" t="s">
        <v>1016</v>
      </c>
      <c r="D213" s="25" t="s">
        <v>1017</v>
      </c>
      <c r="E213" s="26" t="s">
        <v>43</v>
      </c>
      <c r="F213" s="27" t="s">
        <v>43</v>
      </c>
      <c r="G213" s="28" t="s">
        <v>43</v>
      </c>
      <c r="H213" s="29"/>
      <c r="I213" s="29" t="s">
        <v>44</v>
      </c>
      <c r="J213" s="30">
        <v>10</v>
      </c>
      <c r="K213" s="31">
        <f>2219.5</f>
        <v>2219.5</v>
      </c>
      <c r="L213" s="32" t="s">
        <v>676</v>
      </c>
      <c r="M213" s="31">
        <f>2219.5</f>
        <v>2219.5</v>
      </c>
      <c r="N213" s="32" t="s">
        <v>676</v>
      </c>
      <c r="O213" s="31">
        <f>2219.5</f>
        <v>2219.5</v>
      </c>
      <c r="P213" s="32" t="s">
        <v>676</v>
      </c>
      <c r="Q213" s="31">
        <f>2219.5</f>
        <v>2219.5</v>
      </c>
      <c r="R213" s="32" t="s">
        <v>676</v>
      </c>
      <c r="S213" s="33">
        <f>2219.5</f>
        <v>2219.5</v>
      </c>
      <c r="T213" s="30">
        <f>225010</f>
        <v>225010</v>
      </c>
      <c r="U213" s="30">
        <f>225000</f>
        <v>225000</v>
      </c>
      <c r="V213" s="30">
        <f>499224025</f>
        <v>499224025</v>
      </c>
      <c r="W213" s="30">
        <f>499201830</f>
        <v>499201830</v>
      </c>
      <c r="X213" s="34">
        <f>1</f>
        <v>1</v>
      </c>
    </row>
    <row r="214" spans="1:24">
      <c r="A214" s="25" t="s">
        <v>1109</v>
      </c>
      <c r="B214" s="25" t="s">
        <v>1018</v>
      </c>
      <c r="C214" s="25" t="s">
        <v>1019</v>
      </c>
      <c r="D214" s="25" t="s">
        <v>1020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10</v>
      </c>
      <c r="K214" s="31">
        <f>2143.5</f>
        <v>2143.5</v>
      </c>
      <c r="L214" s="32" t="s">
        <v>760</v>
      </c>
      <c r="M214" s="31">
        <f>2210.5</f>
        <v>2210.5</v>
      </c>
      <c r="N214" s="32" t="s">
        <v>676</v>
      </c>
      <c r="O214" s="31">
        <f>2094.5</f>
        <v>2094.5</v>
      </c>
      <c r="P214" s="32" t="s">
        <v>680</v>
      </c>
      <c r="Q214" s="31">
        <f>2184.5</f>
        <v>2184.5</v>
      </c>
      <c r="R214" s="32" t="s">
        <v>676</v>
      </c>
      <c r="S214" s="33">
        <f>2154.4</f>
        <v>2154.4</v>
      </c>
      <c r="T214" s="30">
        <f>588750</f>
        <v>588750</v>
      </c>
      <c r="U214" s="30">
        <f>229000</f>
        <v>229000</v>
      </c>
      <c r="V214" s="30">
        <f>1274327998</f>
        <v>1274327998</v>
      </c>
      <c r="W214" s="30">
        <f>499446023</f>
        <v>499446023</v>
      </c>
      <c r="X214" s="34">
        <f>5</f>
        <v>5</v>
      </c>
    </row>
    <row r="215" spans="1:24">
      <c r="A215" s="25" t="s">
        <v>1109</v>
      </c>
      <c r="B215" s="25" t="s">
        <v>1021</v>
      </c>
      <c r="C215" s="25" t="s">
        <v>1022</v>
      </c>
      <c r="D215" s="25" t="s">
        <v>1023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10</v>
      </c>
      <c r="K215" s="31">
        <f>5153</f>
        <v>5153</v>
      </c>
      <c r="L215" s="32" t="s">
        <v>1110</v>
      </c>
      <c r="M215" s="31">
        <f>5153</f>
        <v>5153</v>
      </c>
      <c r="N215" s="32" t="s">
        <v>1110</v>
      </c>
      <c r="O215" s="31">
        <f>4993</f>
        <v>4993</v>
      </c>
      <c r="P215" s="32" t="s">
        <v>1117</v>
      </c>
      <c r="Q215" s="31">
        <f>4993</f>
        <v>4993</v>
      </c>
      <c r="R215" s="32" t="s">
        <v>1117</v>
      </c>
      <c r="S215" s="33">
        <f>5073</f>
        <v>5073</v>
      </c>
      <c r="T215" s="30">
        <f>221330</f>
        <v>221330</v>
      </c>
      <c r="U215" s="30">
        <f>200000</f>
        <v>200000</v>
      </c>
      <c r="V215" s="30">
        <f>1109449890</f>
        <v>1109449890</v>
      </c>
      <c r="W215" s="30">
        <f>999538000</f>
        <v>999538000</v>
      </c>
      <c r="X215" s="34">
        <f>2</f>
        <v>2</v>
      </c>
    </row>
    <row r="216" spans="1:24">
      <c r="A216" s="25" t="s">
        <v>1109</v>
      </c>
      <c r="B216" s="25" t="s">
        <v>1024</v>
      </c>
      <c r="C216" s="25" t="s">
        <v>1025</v>
      </c>
      <c r="D216" s="25" t="s">
        <v>1026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10</v>
      </c>
      <c r="K216" s="31">
        <f>5137</f>
        <v>5137</v>
      </c>
      <c r="L216" s="32" t="s">
        <v>1114</v>
      </c>
      <c r="M216" s="31">
        <f>5137</f>
        <v>5137</v>
      </c>
      <c r="N216" s="32" t="s">
        <v>1114</v>
      </c>
      <c r="O216" s="31">
        <f>5137</f>
        <v>5137</v>
      </c>
      <c r="P216" s="32" t="s">
        <v>1114</v>
      </c>
      <c r="Q216" s="31">
        <f>5137</f>
        <v>5137</v>
      </c>
      <c r="R216" s="32" t="s">
        <v>1114</v>
      </c>
      <c r="S216" s="33">
        <f>5137</f>
        <v>5137</v>
      </c>
      <c r="T216" s="30">
        <f>40</f>
        <v>40</v>
      </c>
      <c r="U216" s="30" t="str">
        <f>"－"</f>
        <v>－</v>
      </c>
      <c r="V216" s="30">
        <f>205480</f>
        <v>205480</v>
      </c>
      <c r="W216" s="30" t="str">
        <f>"－"</f>
        <v>－</v>
      </c>
      <c r="X216" s="34">
        <f>1</f>
        <v>1</v>
      </c>
    </row>
    <row r="217" spans="1:24">
      <c r="A217" s="25" t="s">
        <v>1109</v>
      </c>
      <c r="B217" s="25" t="s">
        <v>1027</v>
      </c>
      <c r="C217" s="25" t="s">
        <v>1028</v>
      </c>
      <c r="D217" s="25" t="s">
        <v>1029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10</v>
      </c>
      <c r="K217" s="31" t="str">
        <f>"－"</f>
        <v>－</v>
      </c>
      <c r="L217" s="32"/>
      <c r="M217" s="31" t="str">
        <f>"－"</f>
        <v>－</v>
      </c>
      <c r="N217" s="32"/>
      <c r="O217" s="31" t="str">
        <f>"－"</f>
        <v>－</v>
      </c>
      <c r="P217" s="32"/>
      <c r="Q217" s="31" t="str">
        <f>"－"</f>
        <v>－</v>
      </c>
      <c r="R217" s="32"/>
      <c r="S217" s="33" t="str">
        <f>"－"</f>
        <v>－</v>
      </c>
      <c r="T217" s="30" t="str">
        <f>"－"</f>
        <v>－</v>
      </c>
      <c r="U217" s="30" t="str">
        <f>"－"</f>
        <v>－</v>
      </c>
      <c r="V217" s="30" t="str">
        <f>"－"</f>
        <v>－</v>
      </c>
      <c r="W217" s="30" t="str">
        <f>"－"</f>
        <v>－</v>
      </c>
      <c r="X217" s="34" t="str">
        <f>"－"</f>
        <v>－</v>
      </c>
    </row>
    <row r="218" spans="1:24">
      <c r="A218" s="25" t="s">
        <v>1109</v>
      </c>
      <c r="B218" s="25" t="s">
        <v>1053</v>
      </c>
      <c r="C218" s="25" t="s">
        <v>1052</v>
      </c>
      <c r="D218" s="25" t="s">
        <v>1051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10</v>
      </c>
      <c r="K218" s="31">
        <f>4991</f>
        <v>4991</v>
      </c>
      <c r="L218" s="32" t="s">
        <v>1110</v>
      </c>
      <c r="M218" s="31">
        <f>5037</f>
        <v>5037</v>
      </c>
      <c r="N218" s="32" t="s">
        <v>1124</v>
      </c>
      <c r="O218" s="31">
        <f>4908</f>
        <v>4908</v>
      </c>
      <c r="P218" s="32" t="s">
        <v>1113</v>
      </c>
      <c r="Q218" s="31">
        <f>4978</f>
        <v>4978</v>
      </c>
      <c r="R218" s="32" t="s">
        <v>883</v>
      </c>
      <c r="S218" s="33">
        <f>4983.68</f>
        <v>4983.68</v>
      </c>
      <c r="T218" s="30">
        <f>488110</f>
        <v>488110</v>
      </c>
      <c r="U218" s="30">
        <f>340000</f>
        <v>340000</v>
      </c>
      <c r="V218" s="30">
        <f>2432727640</f>
        <v>2432727640</v>
      </c>
      <c r="W218" s="30">
        <f>1693800320</f>
        <v>1693800320</v>
      </c>
      <c r="X218" s="34">
        <f>19</f>
        <v>19</v>
      </c>
    </row>
    <row r="219" spans="1:24">
      <c r="A219" s="25" t="s">
        <v>1109</v>
      </c>
      <c r="B219" s="25" t="s">
        <v>1050</v>
      </c>
      <c r="C219" s="25" t="s">
        <v>1049</v>
      </c>
      <c r="D219" s="25" t="s">
        <v>1048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992</f>
        <v>992</v>
      </c>
      <c r="L219" s="32" t="s">
        <v>1110</v>
      </c>
      <c r="M219" s="31">
        <f>1086</f>
        <v>1086</v>
      </c>
      <c r="N219" s="32" t="s">
        <v>760</v>
      </c>
      <c r="O219" s="31">
        <f>984</f>
        <v>984</v>
      </c>
      <c r="P219" s="32" t="s">
        <v>674</v>
      </c>
      <c r="Q219" s="31">
        <f>1031</f>
        <v>1031</v>
      </c>
      <c r="R219" s="32" t="s">
        <v>883</v>
      </c>
      <c r="S219" s="33">
        <f>1015.89</f>
        <v>1015.89</v>
      </c>
      <c r="T219" s="30">
        <f>278559</f>
        <v>278559</v>
      </c>
      <c r="U219" s="30" t="str">
        <f t="shared" ref="U219:U224" si="4">"－"</f>
        <v>－</v>
      </c>
      <c r="V219" s="30">
        <f>288950117</f>
        <v>288950117</v>
      </c>
      <c r="W219" s="30" t="str">
        <f t="shared" ref="W219:W224" si="5">"－"</f>
        <v>－</v>
      </c>
      <c r="X219" s="34">
        <f>19</f>
        <v>19</v>
      </c>
    </row>
    <row r="220" spans="1:24">
      <c r="A220" s="25" t="s">
        <v>1109</v>
      </c>
      <c r="B220" s="25" t="s">
        <v>1047</v>
      </c>
      <c r="C220" s="25" t="s">
        <v>1046</v>
      </c>
      <c r="D220" s="25" t="s">
        <v>1045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</v>
      </c>
      <c r="K220" s="31">
        <f>1109</f>
        <v>1109</v>
      </c>
      <c r="L220" s="32" t="s">
        <v>1110</v>
      </c>
      <c r="M220" s="31">
        <f>1124</f>
        <v>1124</v>
      </c>
      <c r="N220" s="32" t="s">
        <v>1116</v>
      </c>
      <c r="O220" s="31">
        <f>1086</f>
        <v>1086</v>
      </c>
      <c r="P220" s="32" t="s">
        <v>1124</v>
      </c>
      <c r="Q220" s="31">
        <f>1115</f>
        <v>1115</v>
      </c>
      <c r="R220" s="32" t="s">
        <v>883</v>
      </c>
      <c r="S220" s="33">
        <f>1101.58</f>
        <v>1101.58</v>
      </c>
      <c r="T220" s="30">
        <f>96312</f>
        <v>96312</v>
      </c>
      <c r="U220" s="30" t="str">
        <f t="shared" si="4"/>
        <v>－</v>
      </c>
      <c r="V220" s="30">
        <f>105819899</f>
        <v>105819899</v>
      </c>
      <c r="W220" s="30" t="str">
        <f t="shared" si="5"/>
        <v>－</v>
      </c>
      <c r="X220" s="34">
        <f>19</f>
        <v>19</v>
      </c>
    </row>
    <row r="221" spans="1:24">
      <c r="A221" s="25" t="s">
        <v>1109</v>
      </c>
      <c r="B221" s="25" t="s">
        <v>1044</v>
      </c>
      <c r="C221" s="25" t="s">
        <v>1043</v>
      </c>
      <c r="D221" s="25" t="s">
        <v>1042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</v>
      </c>
      <c r="K221" s="31">
        <f>992</f>
        <v>992</v>
      </c>
      <c r="L221" s="32" t="s">
        <v>1110</v>
      </c>
      <c r="M221" s="31">
        <f>1001</f>
        <v>1001</v>
      </c>
      <c r="N221" s="32" t="s">
        <v>674</v>
      </c>
      <c r="O221" s="31">
        <f>930</f>
        <v>930</v>
      </c>
      <c r="P221" s="32" t="s">
        <v>874</v>
      </c>
      <c r="Q221" s="31">
        <f>947</f>
        <v>947</v>
      </c>
      <c r="R221" s="32" t="s">
        <v>883</v>
      </c>
      <c r="S221" s="33">
        <f>963.95</f>
        <v>963.95</v>
      </c>
      <c r="T221" s="30">
        <f>72836</f>
        <v>72836</v>
      </c>
      <c r="U221" s="30" t="str">
        <f t="shared" si="4"/>
        <v>－</v>
      </c>
      <c r="V221" s="30">
        <f>71927695</f>
        <v>71927695</v>
      </c>
      <c r="W221" s="30" t="str">
        <f t="shared" si="5"/>
        <v>－</v>
      </c>
      <c r="X221" s="34">
        <f>19</f>
        <v>19</v>
      </c>
    </row>
    <row r="222" spans="1:24">
      <c r="A222" s="25" t="s">
        <v>1109</v>
      </c>
      <c r="B222" s="25" t="s">
        <v>1041</v>
      </c>
      <c r="C222" s="25" t="s">
        <v>1040</v>
      </c>
      <c r="D222" s="25" t="s">
        <v>1039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</v>
      </c>
      <c r="K222" s="31">
        <f>1002</f>
        <v>1002</v>
      </c>
      <c r="L222" s="32" t="s">
        <v>1110</v>
      </c>
      <c r="M222" s="31">
        <f>1012</f>
        <v>1012</v>
      </c>
      <c r="N222" s="32" t="s">
        <v>1124</v>
      </c>
      <c r="O222" s="31">
        <f>932</f>
        <v>932</v>
      </c>
      <c r="P222" s="32" t="s">
        <v>874</v>
      </c>
      <c r="Q222" s="31">
        <f>943</f>
        <v>943</v>
      </c>
      <c r="R222" s="32" t="s">
        <v>883</v>
      </c>
      <c r="S222" s="33">
        <f>966.79</f>
        <v>966.79</v>
      </c>
      <c r="T222" s="30">
        <f>51025</f>
        <v>51025</v>
      </c>
      <c r="U222" s="30" t="str">
        <f t="shared" si="4"/>
        <v>－</v>
      </c>
      <c r="V222" s="30">
        <f>49937724</f>
        <v>49937724</v>
      </c>
      <c r="W222" s="30" t="str">
        <f t="shared" si="5"/>
        <v>－</v>
      </c>
      <c r="X222" s="34">
        <f>19</f>
        <v>19</v>
      </c>
    </row>
    <row r="223" spans="1:24">
      <c r="A223" s="25" t="s">
        <v>1109</v>
      </c>
      <c r="B223" s="25" t="s">
        <v>1038</v>
      </c>
      <c r="C223" s="25" t="s">
        <v>1037</v>
      </c>
      <c r="D223" s="25" t="s">
        <v>1036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</v>
      </c>
      <c r="K223" s="31">
        <f>1025</f>
        <v>1025</v>
      </c>
      <c r="L223" s="32" t="s">
        <v>1110</v>
      </c>
      <c r="M223" s="31">
        <f>1029</f>
        <v>1029</v>
      </c>
      <c r="N223" s="32" t="s">
        <v>1116</v>
      </c>
      <c r="O223" s="31">
        <f>964</f>
        <v>964</v>
      </c>
      <c r="P223" s="32" t="s">
        <v>874</v>
      </c>
      <c r="Q223" s="31">
        <f>972</f>
        <v>972</v>
      </c>
      <c r="R223" s="32" t="s">
        <v>883</v>
      </c>
      <c r="S223" s="33">
        <f>996.95</f>
        <v>996.95</v>
      </c>
      <c r="T223" s="30">
        <f>103118</f>
        <v>103118</v>
      </c>
      <c r="U223" s="30" t="str">
        <f t="shared" si="4"/>
        <v>－</v>
      </c>
      <c r="V223" s="30">
        <f>102176984</f>
        <v>102176984</v>
      </c>
      <c r="W223" s="30" t="str">
        <f t="shared" si="5"/>
        <v>－</v>
      </c>
      <c r="X223" s="34">
        <f>19</f>
        <v>19</v>
      </c>
    </row>
    <row r="224" spans="1:24">
      <c r="A224" s="25" t="s">
        <v>1109</v>
      </c>
      <c r="B224" s="25" t="s">
        <v>868</v>
      </c>
      <c r="C224" s="25" t="s">
        <v>869</v>
      </c>
      <c r="D224" s="25" t="s">
        <v>870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2439</f>
        <v>2439</v>
      </c>
      <c r="L224" s="32" t="s">
        <v>1110</v>
      </c>
      <c r="M224" s="31">
        <f>2560.5</f>
        <v>2560.5</v>
      </c>
      <c r="N224" s="32" t="s">
        <v>676</v>
      </c>
      <c r="O224" s="31">
        <f>2435</f>
        <v>2435</v>
      </c>
      <c r="P224" s="32" t="s">
        <v>1110</v>
      </c>
      <c r="Q224" s="31">
        <f>2536.5</f>
        <v>2536.5</v>
      </c>
      <c r="R224" s="32" t="s">
        <v>883</v>
      </c>
      <c r="S224" s="33">
        <f>2511.97</f>
        <v>2511.9699999999998</v>
      </c>
      <c r="T224" s="30">
        <f>15560</f>
        <v>15560</v>
      </c>
      <c r="U224" s="30" t="str">
        <f t="shared" si="4"/>
        <v>－</v>
      </c>
      <c r="V224" s="30">
        <f>39156625</f>
        <v>39156625</v>
      </c>
      <c r="W224" s="30" t="str">
        <f t="shared" si="5"/>
        <v>－</v>
      </c>
      <c r="X224" s="34">
        <f>17</f>
        <v>17</v>
      </c>
    </row>
    <row r="225" spans="1:24">
      <c r="A225" s="25" t="s">
        <v>1109</v>
      </c>
      <c r="B225" s="25" t="s">
        <v>871</v>
      </c>
      <c r="C225" s="25" t="s">
        <v>872</v>
      </c>
      <c r="D225" s="25" t="s">
        <v>873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</v>
      </c>
      <c r="K225" s="31">
        <f>1142</f>
        <v>1142</v>
      </c>
      <c r="L225" s="32" t="s">
        <v>1110</v>
      </c>
      <c r="M225" s="31">
        <f>1189</f>
        <v>1189</v>
      </c>
      <c r="N225" s="32" t="s">
        <v>883</v>
      </c>
      <c r="O225" s="31">
        <f>1132</f>
        <v>1132</v>
      </c>
      <c r="P225" s="32" t="s">
        <v>1110</v>
      </c>
      <c r="Q225" s="31">
        <f>1183</f>
        <v>1183</v>
      </c>
      <c r="R225" s="32" t="s">
        <v>883</v>
      </c>
      <c r="S225" s="33">
        <f>1159.89</f>
        <v>1159.8900000000001</v>
      </c>
      <c r="T225" s="30">
        <f>420093</f>
        <v>420093</v>
      </c>
      <c r="U225" s="30">
        <f>26014</f>
        <v>26014</v>
      </c>
      <c r="V225" s="30">
        <f>486462770</f>
        <v>486462770</v>
      </c>
      <c r="W225" s="30">
        <f>30686638</f>
        <v>30686638</v>
      </c>
      <c r="X225" s="34">
        <f>19</f>
        <v>19</v>
      </c>
    </row>
    <row r="226" spans="1:24">
      <c r="A226" s="25" t="s">
        <v>1109</v>
      </c>
      <c r="B226" s="25" t="s">
        <v>877</v>
      </c>
      <c r="C226" s="25" t="s">
        <v>878</v>
      </c>
      <c r="D226" s="25" t="s">
        <v>879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</v>
      </c>
      <c r="K226" s="31">
        <f>65230</f>
        <v>65230</v>
      </c>
      <c r="L226" s="32" t="s">
        <v>1110</v>
      </c>
      <c r="M226" s="31">
        <f>71070</f>
        <v>71070</v>
      </c>
      <c r="N226" s="32" t="s">
        <v>676</v>
      </c>
      <c r="O226" s="31">
        <f>65190</f>
        <v>65190</v>
      </c>
      <c r="P226" s="32" t="s">
        <v>1110</v>
      </c>
      <c r="Q226" s="31">
        <f>70630</f>
        <v>70630</v>
      </c>
      <c r="R226" s="32" t="s">
        <v>883</v>
      </c>
      <c r="S226" s="33">
        <f>68816.84</f>
        <v>68816.84</v>
      </c>
      <c r="T226" s="30">
        <f>26119</f>
        <v>26119</v>
      </c>
      <c r="U226" s="30">
        <f>3</f>
        <v>3</v>
      </c>
      <c r="V226" s="30">
        <f>1796403110</f>
        <v>1796403110</v>
      </c>
      <c r="W226" s="30">
        <f>209190</f>
        <v>209190</v>
      </c>
      <c r="X226" s="34">
        <f>19</f>
        <v>19</v>
      </c>
    </row>
    <row r="227" spans="1:24">
      <c r="A227" s="25" t="s">
        <v>1109</v>
      </c>
      <c r="B227" s="25" t="s">
        <v>880</v>
      </c>
      <c r="C227" s="25" t="s">
        <v>881</v>
      </c>
      <c r="D227" s="25" t="s">
        <v>882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</v>
      </c>
      <c r="K227" s="31">
        <f>8151</f>
        <v>8151</v>
      </c>
      <c r="L227" s="32" t="s">
        <v>1110</v>
      </c>
      <c r="M227" s="31">
        <f>8151</f>
        <v>8151</v>
      </c>
      <c r="N227" s="32" t="s">
        <v>1110</v>
      </c>
      <c r="O227" s="31">
        <f>7782</f>
        <v>7782</v>
      </c>
      <c r="P227" s="32" t="s">
        <v>676</v>
      </c>
      <c r="Q227" s="31">
        <f>7802</f>
        <v>7802</v>
      </c>
      <c r="R227" s="32" t="s">
        <v>883</v>
      </c>
      <c r="S227" s="33">
        <f>7923.37</f>
        <v>7923.37</v>
      </c>
      <c r="T227" s="30">
        <f>38063</f>
        <v>38063</v>
      </c>
      <c r="U227" s="30">
        <f>4200</f>
        <v>4200</v>
      </c>
      <c r="V227" s="30">
        <f>301083747</f>
        <v>301083747</v>
      </c>
      <c r="W227" s="30">
        <f>33261900</f>
        <v>33261900</v>
      </c>
      <c r="X227" s="34">
        <f>19</f>
        <v>19</v>
      </c>
    </row>
    <row r="228" spans="1:24">
      <c r="A228" s="25" t="s">
        <v>1109</v>
      </c>
      <c r="B228" s="25" t="s">
        <v>884</v>
      </c>
      <c r="C228" s="25" t="s">
        <v>885</v>
      </c>
      <c r="D228" s="25" t="s">
        <v>886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14005</f>
        <v>14005</v>
      </c>
      <c r="L228" s="32" t="s">
        <v>1110</v>
      </c>
      <c r="M228" s="31">
        <f>15270</f>
        <v>15270</v>
      </c>
      <c r="N228" s="32" t="s">
        <v>676</v>
      </c>
      <c r="O228" s="31">
        <f>14005</f>
        <v>14005</v>
      </c>
      <c r="P228" s="32" t="s">
        <v>1110</v>
      </c>
      <c r="Q228" s="31">
        <f>15195</f>
        <v>15195</v>
      </c>
      <c r="R228" s="32" t="s">
        <v>883</v>
      </c>
      <c r="S228" s="33">
        <f>14783.16</f>
        <v>14783.16</v>
      </c>
      <c r="T228" s="30">
        <f>29370</f>
        <v>29370</v>
      </c>
      <c r="U228" s="30" t="str">
        <f>"－"</f>
        <v>－</v>
      </c>
      <c r="V228" s="30">
        <f>434205250</f>
        <v>434205250</v>
      </c>
      <c r="W228" s="30" t="str">
        <f>"－"</f>
        <v>－</v>
      </c>
      <c r="X228" s="34">
        <f>19</f>
        <v>19</v>
      </c>
    </row>
    <row r="229" spans="1:24">
      <c r="A229" s="25" t="s">
        <v>1109</v>
      </c>
      <c r="B229" s="25" t="s">
        <v>887</v>
      </c>
      <c r="C229" s="25" t="s">
        <v>888</v>
      </c>
      <c r="D229" s="25" t="s">
        <v>889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10</v>
      </c>
      <c r="K229" s="31">
        <f>8201</f>
        <v>8201</v>
      </c>
      <c r="L229" s="32" t="s">
        <v>1110</v>
      </c>
      <c r="M229" s="31">
        <f>8201</f>
        <v>8201</v>
      </c>
      <c r="N229" s="32" t="s">
        <v>1110</v>
      </c>
      <c r="O229" s="31">
        <f>7833</f>
        <v>7833</v>
      </c>
      <c r="P229" s="32" t="s">
        <v>676</v>
      </c>
      <c r="Q229" s="31">
        <f>7853</f>
        <v>7853</v>
      </c>
      <c r="R229" s="32" t="s">
        <v>883</v>
      </c>
      <c r="S229" s="33">
        <f>7974.16</f>
        <v>7974.16</v>
      </c>
      <c r="T229" s="30">
        <f>111410</f>
        <v>111410</v>
      </c>
      <c r="U229" s="30">
        <f>105000</f>
        <v>105000</v>
      </c>
      <c r="V229" s="30">
        <f>884304380</f>
        <v>884304380</v>
      </c>
      <c r="W229" s="30">
        <f>833206500</f>
        <v>833206500</v>
      </c>
      <c r="X229" s="34">
        <f>19</f>
        <v>19</v>
      </c>
    </row>
    <row r="230" spans="1:24">
      <c r="A230" s="25" t="s">
        <v>1109</v>
      </c>
      <c r="B230" s="25" t="s">
        <v>890</v>
      </c>
      <c r="C230" s="25" t="s">
        <v>891</v>
      </c>
      <c r="D230" s="25" t="s">
        <v>892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10</v>
      </c>
      <c r="K230" s="31">
        <f>626</f>
        <v>626</v>
      </c>
      <c r="L230" s="32" t="s">
        <v>1110</v>
      </c>
      <c r="M230" s="31">
        <f>656.9</f>
        <v>656.9</v>
      </c>
      <c r="N230" s="32" t="s">
        <v>676</v>
      </c>
      <c r="O230" s="31">
        <f>624.6</f>
        <v>624.6</v>
      </c>
      <c r="P230" s="32" t="s">
        <v>1110</v>
      </c>
      <c r="Q230" s="31">
        <f>652.3</f>
        <v>652.29999999999995</v>
      </c>
      <c r="R230" s="32" t="s">
        <v>883</v>
      </c>
      <c r="S230" s="33">
        <f>643.99</f>
        <v>643.99</v>
      </c>
      <c r="T230" s="30">
        <f>3239810</f>
        <v>3239810</v>
      </c>
      <c r="U230" s="30">
        <f>2159100</f>
        <v>2159100</v>
      </c>
      <c r="V230" s="30">
        <f>2110384715</f>
        <v>2110384715</v>
      </c>
      <c r="W230" s="30">
        <f>1415887360</f>
        <v>1415887360</v>
      </c>
      <c r="X230" s="34">
        <f>19</f>
        <v>19</v>
      </c>
    </row>
    <row r="231" spans="1:24">
      <c r="A231" s="25" t="s">
        <v>1109</v>
      </c>
      <c r="B231" s="25" t="s">
        <v>893</v>
      </c>
      <c r="C231" s="25" t="s">
        <v>894</v>
      </c>
      <c r="D231" s="25" t="s">
        <v>895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10</v>
      </c>
      <c r="K231" s="31">
        <f>550</f>
        <v>550</v>
      </c>
      <c r="L231" s="32" t="s">
        <v>1110</v>
      </c>
      <c r="M231" s="31">
        <f>564.2</f>
        <v>564.20000000000005</v>
      </c>
      <c r="N231" s="32" t="s">
        <v>874</v>
      </c>
      <c r="O231" s="31">
        <f>543</f>
        <v>543</v>
      </c>
      <c r="P231" s="32" t="s">
        <v>1112</v>
      </c>
      <c r="Q231" s="31">
        <f>560.1</f>
        <v>560.1</v>
      </c>
      <c r="R231" s="32" t="s">
        <v>883</v>
      </c>
      <c r="S231" s="33">
        <f>555.92</f>
        <v>555.91999999999996</v>
      </c>
      <c r="T231" s="30">
        <f>123240</f>
        <v>123240</v>
      </c>
      <c r="U231" s="30" t="str">
        <f>"－"</f>
        <v>－</v>
      </c>
      <c r="V231" s="30">
        <f>68623461</f>
        <v>68623461</v>
      </c>
      <c r="W231" s="30" t="str">
        <f>"－"</f>
        <v>－</v>
      </c>
      <c r="X231" s="34">
        <f>19</f>
        <v>19</v>
      </c>
    </row>
    <row r="232" spans="1:24">
      <c r="A232" s="25" t="s">
        <v>1109</v>
      </c>
      <c r="B232" s="25" t="s">
        <v>934</v>
      </c>
      <c r="C232" s="25" t="s">
        <v>935</v>
      </c>
      <c r="D232" s="25" t="s">
        <v>936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1505</f>
        <v>1505</v>
      </c>
      <c r="L232" s="32" t="s">
        <v>1110</v>
      </c>
      <c r="M232" s="31">
        <f>1677</f>
        <v>1677</v>
      </c>
      <c r="N232" s="32" t="s">
        <v>1111</v>
      </c>
      <c r="O232" s="31">
        <f>1501</f>
        <v>1501</v>
      </c>
      <c r="P232" s="32" t="s">
        <v>1110</v>
      </c>
      <c r="Q232" s="31">
        <f>1654</f>
        <v>1654</v>
      </c>
      <c r="R232" s="32" t="s">
        <v>883</v>
      </c>
      <c r="S232" s="33">
        <f>1607.37</f>
        <v>1607.37</v>
      </c>
      <c r="T232" s="30">
        <f>10033123</f>
        <v>10033123</v>
      </c>
      <c r="U232" s="30">
        <f>2758845</f>
        <v>2758845</v>
      </c>
      <c r="V232" s="30">
        <f>16216336261</f>
        <v>16216336261</v>
      </c>
      <c r="W232" s="30">
        <f>4425934437</f>
        <v>4425934437</v>
      </c>
      <c r="X232" s="34">
        <f>19</f>
        <v>19</v>
      </c>
    </row>
    <row r="233" spans="1:24">
      <c r="A233" s="25" t="s">
        <v>1109</v>
      </c>
      <c r="B233" s="25" t="s">
        <v>937</v>
      </c>
      <c r="C233" s="25" t="s">
        <v>938</v>
      </c>
      <c r="D233" s="25" t="s">
        <v>939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1662</f>
        <v>1662</v>
      </c>
      <c r="L233" s="32" t="s">
        <v>1110</v>
      </c>
      <c r="M233" s="31">
        <f>1823</f>
        <v>1823</v>
      </c>
      <c r="N233" s="32" t="s">
        <v>1114</v>
      </c>
      <c r="O233" s="31">
        <f>1660</f>
        <v>1660</v>
      </c>
      <c r="P233" s="32" t="s">
        <v>1110</v>
      </c>
      <c r="Q233" s="31">
        <f>1806</f>
        <v>1806</v>
      </c>
      <c r="R233" s="32" t="s">
        <v>883</v>
      </c>
      <c r="S233" s="33">
        <f>1774.26</f>
        <v>1774.26</v>
      </c>
      <c r="T233" s="30">
        <f>9482216</f>
        <v>9482216</v>
      </c>
      <c r="U233" s="30">
        <f>292385</f>
        <v>292385</v>
      </c>
      <c r="V233" s="30">
        <f>16881868940</f>
        <v>16881868940</v>
      </c>
      <c r="W233" s="30">
        <f>521338616</f>
        <v>521338616</v>
      </c>
      <c r="X233" s="34">
        <f>19</f>
        <v>19</v>
      </c>
    </row>
    <row r="234" spans="1:24">
      <c r="A234" s="25" t="s">
        <v>1109</v>
      </c>
      <c r="B234" s="25" t="s">
        <v>940</v>
      </c>
      <c r="C234" s="25" t="s">
        <v>941</v>
      </c>
      <c r="D234" s="25" t="s">
        <v>942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10</v>
      </c>
      <c r="K234" s="31">
        <f>799.3</f>
        <v>799.3</v>
      </c>
      <c r="L234" s="32" t="s">
        <v>1110</v>
      </c>
      <c r="M234" s="31">
        <f>862.4</f>
        <v>862.4</v>
      </c>
      <c r="N234" s="32" t="s">
        <v>674</v>
      </c>
      <c r="O234" s="31">
        <f>775.1</f>
        <v>775.1</v>
      </c>
      <c r="P234" s="32" t="s">
        <v>676</v>
      </c>
      <c r="Q234" s="31">
        <f>780.5</f>
        <v>780.5</v>
      </c>
      <c r="R234" s="32" t="s">
        <v>883</v>
      </c>
      <c r="S234" s="33">
        <f>788.46</f>
        <v>788.46</v>
      </c>
      <c r="T234" s="30">
        <f>89210</f>
        <v>89210</v>
      </c>
      <c r="U234" s="30" t="str">
        <f>"－"</f>
        <v>－</v>
      </c>
      <c r="V234" s="30">
        <f>70971883</f>
        <v>70971883</v>
      </c>
      <c r="W234" s="30" t="str">
        <f>"－"</f>
        <v>－</v>
      </c>
      <c r="X234" s="34">
        <f>16</f>
        <v>16</v>
      </c>
    </row>
    <row r="235" spans="1:24">
      <c r="A235" s="25" t="s">
        <v>1109</v>
      </c>
      <c r="B235" s="25" t="s">
        <v>943</v>
      </c>
      <c r="C235" s="25" t="s">
        <v>944</v>
      </c>
      <c r="D235" s="25" t="s">
        <v>945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833</f>
        <v>833</v>
      </c>
      <c r="L235" s="32" t="s">
        <v>1116</v>
      </c>
      <c r="M235" s="31">
        <f>833</f>
        <v>833</v>
      </c>
      <c r="N235" s="32" t="s">
        <v>1116</v>
      </c>
      <c r="O235" s="31">
        <f>787.4</f>
        <v>787.4</v>
      </c>
      <c r="P235" s="32" t="s">
        <v>874</v>
      </c>
      <c r="Q235" s="31">
        <f>792.5</f>
        <v>792.5</v>
      </c>
      <c r="R235" s="32" t="s">
        <v>676</v>
      </c>
      <c r="S235" s="33">
        <f>795.52</f>
        <v>795.52</v>
      </c>
      <c r="T235" s="30">
        <f>62530</f>
        <v>62530</v>
      </c>
      <c r="U235" s="30" t="str">
        <f>"－"</f>
        <v>－</v>
      </c>
      <c r="V235" s="30">
        <f>50283638</f>
        <v>50283638</v>
      </c>
      <c r="W235" s="30" t="str">
        <f>"－"</f>
        <v>－</v>
      </c>
      <c r="X235" s="34">
        <f>11</f>
        <v>11</v>
      </c>
    </row>
    <row r="236" spans="1:24">
      <c r="A236" s="25" t="s">
        <v>1109</v>
      </c>
      <c r="B236" s="25" t="s">
        <v>952</v>
      </c>
      <c r="C236" s="25" t="s">
        <v>953</v>
      </c>
      <c r="D236" s="25" t="s">
        <v>954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13395</f>
        <v>13395</v>
      </c>
      <c r="L236" s="32" t="s">
        <v>1110</v>
      </c>
      <c r="M236" s="31">
        <f>14380</f>
        <v>14380</v>
      </c>
      <c r="N236" s="32" t="s">
        <v>676</v>
      </c>
      <c r="O236" s="31">
        <f>13365</f>
        <v>13365</v>
      </c>
      <c r="P236" s="32" t="s">
        <v>1110</v>
      </c>
      <c r="Q236" s="31">
        <f>14275</f>
        <v>14275</v>
      </c>
      <c r="R236" s="32" t="s">
        <v>883</v>
      </c>
      <c r="S236" s="33">
        <f>14012.37</f>
        <v>14012.37</v>
      </c>
      <c r="T236" s="30">
        <f>293931</f>
        <v>293931</v>
      </c>
      <c r="U236" s="30">
        <f>66230</f>
        <v>66230</v>
      </c>
      <c r="V236" s="30">
        <f>4121751372</f>
        <v>4121751372</v>
      </c>
      <c r="W236" s="30">
        <f>924391337</f>
        <v>924391337</v>
      </c>
      <c r="X236" s="34">
        <f>19</f>
        <v>19</v>
      </c>
    </row>
    <row r="237" spans="1:24">
      <c r="A237" s="25" t="s">
        <v>1109</v>
      </c>
      <c r="B237" s="25" t="s">
        <v>955</v>
      </c>
      <c r="C237" s="25" t="s">
        <v>956</v>
      </c>
      <c r="D237" s="25" t="s">
        <v>957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</v>
      </c>
      <c r="K237" s="31">
        <f>39050</f>
        <v>39050</v>
      </c>
      <c r="L237" s="32" t="s">
        <v>1110</v>
      </c>
      <c r="M237" s="31">
        <f>40820</f>
        <v>40820</v>
      </c>
      <c r="N237" s="32" t="s">
        <v>676</v>
      </c>
      <c r="O237" s="31">
        <f>39030</f>
        <v>39030</v>
      </c>
      <c r="P237" s="32" t="s">
        <v>1110</v>
      </c>
      <c r="Q237" s="31">
        <f>40720</f>
        <v>40720</v>
      </c>
      <c r="R237" s="32" t="s">
        <v>883</v>
      </c>
      <c r="S237" s="33">
        <f>40113.68</f>
        <v>40113.68</v>
      </c>
      <c r="T237" s="30">
        <f>74897</f>
        <v>74897</v>
      </c>
      <c r="U237" s="30">
        <f>54900</f>
        <v>54900</v>
      </c>
      <c r="V237" s="30">
        <f>2965078596</f>
        <v>2965078596</v>
      </c>
      <c r="W237" s="30">
        <f>2169531286</f>
        <v>2169531286</v>
      </c>
      <c r="X237" s="34">
        <f>19</f>
        <v>19</v>
      </c>
    </row>
    <row r="238" spans="1:24">
      <c r="A238" s="25" t="s">
        <v>1109</v>
      </c>
      <c r="B238" s="25" t="s">
        <v>958</v>
      </c>
      <c r="C238" s="25" t="s">
        <v>959</v>
      </c>
      <c r="D238" s="25" t="s">
        <v>960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24455</f>
        <v>24455</v>
      </c>
      <c r="L238" s="32" t="s">
        <v>1110</v>
      </c>
      <c r="M238" s="31">
        <f>24460</f>
        <v>24460</v>
      </c>
      <c r="N238" s="32" t="s">
        <v>1110</v>
      </c>
      <c r="O238" s="31">
        <f>22300</f>
        <v>22300</v>
      </c>
      <c r="P238" s="32" t="s">
        <v>676</v>
      </c>
      <c r="Q238" s="31">
        <f>22405</f>
        <v>22405</v>
      </c>
      <c r="R238" s="32" t="s">
        <v>883</v>
      </c>
      <c r="S238" s="33">
        <f>23110.26</f>
        <v>23110.26</v>
      </c>
      <c r="T238" s="30">
        <f>59196</f>
        <v>59196</v>
      </c>
      <c r="U238" s="30" t="str">
        <f>"－"</f>
        <v>－</v>
      </c>
      <c r="V238" s="30">
        <f>1372051015</f>
        <v>1372051015</v>
      </c>
      <c r="W238" s="30" t="str">
        <f>"－"</f>
        <v>－</v>
      </c>
      <c r="X238" s="34">
        <f>19</f>
        <v>19</v>
      </c>
    </row>
    <row r="239" spans="1:24">
      <c r="A239" s="25" t="s">
        <v>1109</v>
      </c>
      <c r="B239" s="25" t="s">
        <v>961</v>
      </c>
      <c r="C239" s="25" t="s">
        <v>962</v>
      </c>
      <c r="D239" s="25" t="s">
        <v>963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10</v>
      </c>
      <c r="K239" s="31">
        <f>227</f>
        <v>227</v>
      </c>
      <c r="L239" s="32" t="s">
        <v>1110</v>
      </c>
      <c r="M239" s="31">
        <f>238.7</f>
        <v>238.7</v>
      </c>
      <c r="N239" s="32" t="s">
        <v>1111</v>
      </c>
      <c r="O239" s="31">
        <f>222.6</f>
        <v>222.6</v>
      </c>
      <c r="P239" s="32" t="s">
        <v>876</v>
      </c>
      <c r="Q239" s="31">
        <f>231.8</f>
        <v>231.8</v>
      </c>
      <c r="R239" s="32" t="s">
        <v>883</v>
      </c>
      <c r="S239" s="33">
        <f>227.02</f>
        <v>227.02</v>
      </c>
      <c r="T239" s="30">
        <f>36350</f>
        <v>36350</v>
      </c>
      <c r="U239" s="30" t="str">
        <f>"－"</f>
        <v>－</v>
      </c>
      <c r="V239" s="30">
        <f>8259535</f>
        <v>8259535</v>
      </c>
      <c r="W239" s="30" t="str">
        <f>"－"</f>
        <v>－</v>
      </c>
      <c r="X239" s="34">
        <f>19</f>
        <v>19</v>
      </c>
    </row>
    <row r="240" spans="1:24">
      <c r="A240" s="25" t="s">
        <v>1109</v>
      </c>
      <c r="B240" s="25" t="s">
        <v>964</v>
      </c>
      <c r="C240" s="25" t="s">
        <v>965</v>
      </c>
      <c r="D240" s="25" t="s">
        <v>966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10</v>
      </c>
      <c r="K240" s="31">
        <f>753.7</f>
        <v>753.7</v>
      </c>
      <c r="L240" s="32" t="s">
        <v>1110</v>
      </c>
      <c r="M240" s="31">
        <f>757.6</f>
        <v>757.6</v>
      </c>
      <c r="N240" s="32" t="s">
        <v>1117</v>
      </c>
      <c r="O240" s="31">
        <f>746.4</f>
        <v>746.4</v>
      </c>
      <c r="P240" s="32" t="s">
        <v>1116</v>
      </c>
      <c r="Q240" s="31">
        <f>753.2</f>
        <v>753.2</v>
      </c>
      <c r="R240" s="32" t="s">
        <v>883</v>
      </c>
      <c r="S240" s="33">
        <f>752.33</f>
        <v>752.33</v>
      </c>
      <c r="T240" s="30">
        <f>1598050</f>
        <v>1598050</v>
      </c>
      <c r="U240" s="30">
        <f>1266000</f>
        <v>1266000</v>
      </c>
      <c r="V240" s="30">
        <f>1201810775</f>
        <v>1201810775</v>
      </c>
      <c r="W240" s="30">
        <f>952258100</f>
        <v>952258100</v>
      </c>
      <c r="X240" s="34">
        <f>19</f>
        <v>19</v>
      </c>
    </row>
    <row r="241" spans="1:24">
      <c r="A241" s="25" t="s">
        <v>1109</v>
      </c>
      <c r="B241" s="25" t="s">
        <v>982</v>
      </c>
      <c r="C241" s="25" t="s">
        <v>983</v>
      </c>
      <c r="D241" s="25" t="s">
        <v>984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1050</f>
        <v>1050</v>
      </c>
      <c r="L241" s="32" t="s">
        <v>1110</v>
      </c>
      <c r="M241" s="31">
        <f>1139</f>
        <v>1139</v>
      </c>
      <c r="N241" s="32" t="s">
        <v>676</v>
      </c>
      <c r="O241" s="31">
        <f>1048</f>
        <v>1048</v>
      </c>
      <c r="P241" s="32" t="s">
        <v>1110</v>
      </c>
      <c r="Q241" s="31">
        <f>1133</f>
        <v>1133</v>
      </c>
      <c r="R241" s="32" t="s">
        <v>883</v>
      </c>
      <c r="S241" s="33">
        <f>1101</f>
        <v>1101</v>
      </c>
      <c r="T241" s="30">
        <f>343759</f>
        <v>343759</v>
      </c>
      <c r="U241" s="30">
        <f>1</f>
        <v>1</v>
      </c>
      <c r="V241" s="30">
        <f>376480645</f>
        <v>376480645</v>
      </c>
      <c r="W241" s="30">
        <f>1056</f>
        <v>1056</v>
      </c>
      <c r="X241" s="34">
        <f>19</f>
        <v>19</v>
      </c>
    </row>
    <row r="242" spans="1:24">
      <c r="A242" s="25" t="s">
        <v>1109</v>
      </c>
      <c r="B242" s="25" t="s">
        <v>985</v>
      </c>
      <c r="C242" s="25" t="s">
        <v>986</v>
      </c>
      <c r="D242" s="25" t="s">
        <v>987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1070</f>
        <v>1070</v>
      </c>
      <c r="L242" s="32" t="s">
        <v>1110</v>
      </c>
      <c r="M242" s="31">
        <f>1086</f>
        <v>1086</v>
      </c>
      <c r="N242" s="32" t="s">
        <v>676</v>
      </c>
      <c r="O242" s="31">
        <f>1039</f>
        <v>1039</v>
      </c>
      <c r="P242" s="32" t="s">
        <v>1113</v>
      </c>
      <c r="Q242" s="31">
        <f>1077</f>
        <v>1077</v>
      </c>
      <c r="R242" s="32" t="s">
        <v>883</v>
      </c>
      <c r="S242" s="33">
        <f>1065.47</f>
        <v>1065.47</v>
      </c>
      <c r="T242" s="30">
        <f>201768</f>
        <v>201768</v>
      </c>
      <c r="U242" s="30">
        <f>2</f>
        <v>2</v>
      </c>
      <c r="V242" s="30">
        <f>214377615</f>
        <v>214377615</v>
      </c>
      <c r="W242" s="30">
        <f>2134</f>
        <v>2134</v>
      </c>
      <c r="X242" s="34">
        <f>19</f>
        <v>19</v>
      </c>
    </row>
    <row r="243" spans="1:24">
      <c r="A243" s="25" t="s">
        <v>1109</v>
      </c>
      <c r="B243" s="25" t="s">
        <v>988</v>
      </c>
      <c r="C243" s="25" t="s">
        <v>989</v>
      </c>
      <c r="D243" s="25" t="s">
        <v>990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</v>
      </c>
      <c r="K243" s="31">
        <f>677</f>
        <v>677</v>
      </c>
      <c r="L243" s="32" t="s">
        <v>1110</v>
      </c>
      <c r="M243" s="31">
        <f>772</f>
        <v>772</v>
      </c>
      <c r="N243" s="32" t="s">
        <v>1114</v>
      </c>
      <c r="O243" s="31">
        <f>632</f>
        <v>632</v>
      </c>
      <c r="P243" s="32" t="s">
        <v>674</v>
      </c>
      <c r="Q243" s="31">
        <f>755</f>
        <v>755</v>
      </c>
      <c r="R243" s="32" t="s">
        <v>883</v>
      </c>
      <c r="S243" s="33">
        <f>716.47</f>
        <v>716.47</v>
      </c>
      <c r="T243" s="30">
        <f>998500</f>
        <v>998500</v>
      </c>
      <c r="U243" s="30" t="str">
        <f>"－"</f>
        <v>－</v>
      </c>
      <c r="V243" s="30">
        <f>704587037</f>
        <v>704587037</v>
      </c>
      <c r="W243" s="30" t="str">
        <f>"－"</f>
        <v>－</v>
      </c>
      <c r="X243" s="34">
        <f>19</f>
        <v>19</v>
      </c>
    </row>
    <row r="244" spans="1:24">
      <c r="A244" s="25" t="s">
        <v>1109</v>
      </c>
      <c r="B244" s="25" t="s">
        <v>1059</v>
      </c>
      <c r="C244" s="25" t="s">
        <v>1060</v>
      </c>
      <c r="D244" s="25" t="s">
        <v>1061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214</f>
        <v>214</v>
      </c>
      <c r="L244" s="32" t="s">
        <v>1110</v>
      </c>
      <c r="M244" s="31">
        <f>215.4</f>
        <v>215.4</v>
      </c>
      <c r="N244" s="32" t="s">
        <v>1116</v>
      </c>
      <c r="O244" s="31">
        <f>208.2</f>
        <v>208.2</v>
      </c>
      <c r="P244" s="32" t="s">
        <v>874</v>
      </c>
      <c r="Q244" s="31">
        <f>210.4</f>
        <v>210.4</v>
      </c>
      <c r="R244" s="32" t="s">
        <v>883</v>
      </c>
      <c r="S244" s="33">
        <f>211.15</f>
        <v>211.15</v>
      </c>
      <c r="T244" s="30">
        <f>8851360</f>
        <v>8851360</v>
      </c>
      <c r="U244" s="30">
        <f>5950</f>
        <v>5950</v>
      </c>
      <c r="V244" s="30">
        <f>1870522110</f>
        <v>1870522110</v>
      </c>
      <c r="W244" s="30">
        <f>1272031</f>
        <v>1272031</v>
      </c>
      <c r="X244" s="34">
        <f>19</f>
        <v>19</v>
      </c>
    </row>
    <row r="245" spans="1:24">
      <c r="A245" s="25" t="s">
        <v>1109</v>
      </c>
      <c r="B245" s="25" t="s">
        <v>1062</v>
      </c>
      <c r="C245" s="25" t="s">
        <v>1063</v>
      </c>
      <c r="D245" s="25" t="s">
        <v>1064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213.8</f>
        <v>213.8</v>
      </c>
      <c r="L245" s="32" t="s">
        <v>1110</v>
      </c>
      <c r="M245" s="31">
        <f>213.8</f>
        <v>213.8</v>
      </c>
      <c r="N245" s="32" t="s">
        <v>1110</v>
      </c>
      <c r="O245" s="31">
        <f>204.6</f>
        <v>204.6</v>
      </c>
      <c r="P245" s="32" t="s">
        <v>1110</v>
      </c>
      <c r="Q245" s="31">
        <f>205.8</f>
        <v>205.8</v>
      </c>
      <c r="R245" s="32" t="s">
        <v>883</v>
      </c>
      <c r="S245" s="33">
        <f>205.96</f>
        <v>205.96</v>
      </c>
      <c r="T245" s="30">
        <f>1065820</f>
        <v>1065820</v>
      </c>
      <c r="U245" s="30">
        <f>40</f>
        <v>40</v>
      </c>
      <c r="V245" s="30">
        <f>219706258</f>
        <v>219706258</v>
      </c>
      <c r="W245" s="30">
        <f>8264</f>
        <v>8264</v>
      </c>
      <c r="X245" s="34">
        <f>19</f>
        <v>19</v>
      </c>
    </row>
    <row r="246" spans="1:24">
      <c r="A246" s="25" t="s">
        <v>1109</v>
      </c>
      <c r="B246" s="25" t="s">
        <v>1065</v>
      </c>
      <c r="C246" s="25" t="s">
        <v>1066</v>
      </c>
      <c r="D246" s="25" t="s">
        <v>1067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10</v>
      </c>
      <c r="K246" s="31">
        <f>208.2</f>
        <v>208.2</v>
      </c>
      <c r="L246" s="32" t="s">
        <v>1110</v>
      </c>
      <c r="M246" s="31">
        <f>209.2</f>
        <v>209.2</v>
      </c>
      <c r="N246" s="32" t="s">
        <v>1114</v>
      </c>
      <c r="O246" s="31">
        <f>205</f>
        <v>205</v>
      </c>
      <c r="P246" s="32" t="s">
        <v>1110</v>
      </c>
      <c r="Q246" s="31">
        <f>206.8</f>
        <v>206.8</v>
      </c>
      <c r="R246" s="32" t="s">
        <v>883</v>
      </c>
      <c r="S246" s="33">
        <f>206.92</f>
        <v>206.92</v>
      </c>
      <c r="T246" s="30">
        <f>307110</f>
        <v>307110</v>
      </c>
      <c r="U246" s="30" t="str">
        <f>"－"</f>
        <v>－</v>
      </c>
      <c r="V246" s="30">
        <f>63445762</f>
        <v>63445762</v>
      </c>
      <c r="W246" s="30" t="str">
        <f>"－"</f>
        <v>－</v>
      </c>
      <c r="X246" s="34">
        <f>19</f>
        <v>19</v>
      </c>
    </row>
    <row r="247" spans="1:24">
      <c r="A247" s="25" t="s">
        <v>1109</v>
      </c>
      <c r="B247" s="25" t="s">
        <v>1068</v>
      </c>
      <c r="C247" s="25" t="s">
        <v>1069</v>
      </c>
      <c r="D247" s="25" t="s">
        <v>1070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10</v>
      </c>
      <c r="K247" s="31">
        <f>206.2</f>
        <v>206.2</v>
      </c>
      <c r="L247" s="32" t="s">
        <v>1110</v>
      </c>
      <c r="M247" s="31">
        <f>209.6</f>
        <v>209.6</v>
      </c>
      <c r="N247" s="32" t="s">
        <v>676</v>
      </c>
      <c r="O247" s="31">
        <f>203.1</f>
        <v>203.1</v>
      </c>
      <c r="P247" s="32" t="s">
        <v>1116</v>
      </c>
      <c r="Q247" s="31">
        <f>208.2</f>
        <v>208.2</v>
      </c>
      <c r="R247" s="32" t="s">
        <v>883</v>
      </c>
      <c r="S247" s="33">
        <f>207.13</f>
        <v>207.13</v>
      </c>
      <c r="T247" s="30">
        <f>1306430</f>
        <v>1306430</v>
      </c>
      <c r="U247" s="30">
        <f>3330</f>
        <v>3330</v>
      </c>
      <c r="V247" s="30">
        <f>269427131</f>
        <v>269427131</v>
      </c>
      <c r="W247" s="30">
        <f>711213</f>
        <v>711213</v>
      </c>
      <c r="X247" s="34">
        <f>19</f>
        <v>19</v>
      </c>
    </row>
    <row r="248" spans="1:24">
      <c r="A248" s="25" t="s">
        <v>1109</v>
      </c>
      <c r="B248" s="25" t="s">
        <v>1071</v>
      </c>
      <c r="C248" s="25" t="s">
        <v>1072</v>
      </c>
      <c r="D248" s="25" t="s">
        <v>1073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207.2</f>
        <v>207.2</v>
      </c>
      <c r="L248" s="32" t="s">
        <v>1110</v>
      </c>
      <c r="M248" s="31">
        <f>211.5</f>
        <v>211.5</v>
      </c>
      <c r="N248" s="32" t="s">
        <v>1118</v>
      </c>
      <c r="O248" s="31">
        <f>200</f>
        <v>200</v>
      </c>
      <c r="P248" s="32" t="s">
        <v>876</v>
      </c>
      <c r="Q248" s="31">
        <f>202.6</f>
        <v>202.6</v>
      </c>
      <c r="R248" s="32" t="s">
        <v>883</v>
      </c>
      <c r="S248" s="33">
        <f>204.28</f>
        <v>204.28</v>
      </c>
      <c r="T248" s="30">
        <f>7877410</f>
        <v>7877410</v>
      </c>
      <c r="U248" s="30">
        <f>4752540</f>
        <v>4752540</v>
      </c>
      <c r="V248" s="30">
        <f>1609247353</f>
        <v>1609247353</v>
      </c>
      <c r="W248" s="30">
        <f>971359911</f>
        <v>971359911</v>
      </c>
      <c r="X248" s="34">
        <f>17</f>
        <v>17</v>
      </c>
    </row>
    <row r="249" spans="1:24">
      <c r="A249" s="25" t="s">
        <v>1109</v>
      </c>
      <c r="B249" s="25" t="s">
        <v>539</v>
      </c>
      <c r="C249" s="25" t="s">
        <v>540</v>
      </c>
      <c r="D249" s="25" t="s">
        <v>541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929</f>
        <v>929</v>
      </c>
      <c r="L249" s="32" t="s">
        <v>1110</v>
      </c>
      <c r="M249" s="31">
        <f>934.4</f>
        <v>934.4</v>
      </c>
      <c r="N249" s="32" t="s">
        <v>1111</v>
      </c>
      <c r="O249" s="31">
        <f>924.7</f>
        <v>924.7</v>
      </c>
      <c r="P249" s="32" t="s">
        <v>1117</v>
      </c>
      <c r="Q249" s="31">
        <f>931.6</f>
        <v>931.6</v>
      </c>
      <c r="R249" s="32" t="s">
        <v>883</v>
      </c>
      <c r="S249" s="33">
        <f>930.28</f>
        <v>930.28</v>
      </c>
      <c r="T249" s="30">
        <f>50586850</f>
        <v>50586850</v>
      </c>
      <c r="U249" s="30">
        <f>48585530</f>
        <v>48585530</v>
      </c>
      <c r="V249" s="30">
        <f>46964579069</f>
        <v>46964579069</v>
      </c>
      <c r="W249" s="30">
        <f>45102983458</f>
        <v>45102983458</v>
      </c>
      <c r="X249" s="34">
        <f>19</f>
        <v>19</v>
      </c>
    </row>
    <row r="250" spans="1:24">
      <c r="A250" s="25" t="s">
        <v>1109</v>
      </c>
      <c r="B250" s="25" t="s">
        <v>542</v>
      </c>
      <c r="C250" s="25" t="s">
        <v>543</v>
      </c>
      <c r="D250" s="25" t="s">
        <v>544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10</v>
      </c>
      <c r="K250" s="31">
        <f>1074</f>
        <v>1074</v>
      </c>
      <c r="L250" s="32" t="s">
        <v>1110</v>
      </c>
      <c r="M250" s="31">
        <f>1087.5</f>
        <v>1087.5</v>
      </c>
      <c r="N250" s="32" t="s">
        <v>676</v>
      </c>
      <c r="O250" s="31">
        <f>1068</f>
        <v>1068</v>
      </c>
      <c r="P250" s="32" t="s">
        <v>1115</v>
      </c>
      <c r="Q250" s="31">
        <f>1078</f>
        <v>1078</v>
      </c>
      <c r="R250" s="32" t="s">
        <v>883</v>
      </c>
      <c r="S250" s="33">
        <f>1078.76</f>
        <v>1078.76</v>
      </c>
      <c r="T250" s="30">
        <f>986820</f>
        <v>986820</v>
      </c>
      <c r="U250" s="30">
        <f>137250</f>
        <v>137250</v>
      </c>
      <c r="V250" s="30">
        <f>1064971142</f>
        <v>1064971142</v>
      </c>
      <c r="W250" s="30">
        <f>148794157</f>
        <v>148794157</v>
      </c>
      <c r="X250" s="34">
        <f>19</f>
        <v>19</v>
      </c>
    </row>
    <row r="251" spans="1:24">
      <c r="A251" s="25" t="s">
        <v>1109</v>
      </c>
      <c r="B251" s="25" t="s">
        <v>545</v>
      </c>
      <c r="C251" s="25" t="s">
        <v>546</v>
      </c>
      <c r="D251" s="25" t="s">
        <v>547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10</v>
      </c>
      <c r="K251" s="31">
        <f>807.8</f>
        <v>807.8</v>
      </c>
      <c r="L251" s="32" t="s">
        <v>1110</v>
      </c>
      <c r="M251" s="31">
        <f>808</f>
        <v>808</v>
      </c>
      <c r="N251" s="32" t="s">
        <v>1116</v>
      </c>
      <c r="O251" s="31">
        <f>790</f>
        <v>790</v>
      </c>
      <c r="P251" s="32" t="s">
        <v>1117</v>
      </c>
      <c r="Q251" s="31">
        <f>792</f>
        <v>792</v>
      </c>
      <c r="R251" s="32" t="s">
        <v>883</v>
      </c>
      <c r="S251" s="33">
        <f>796.22</f>
        <v>796.22</v>
      </c>
      <c r="T251" s="30">
        <f>3923880</f>
        <v>3923880</v>
      </c>
      <c r="U251" s="30">
        <f>3754810</f>
        <v>3754810</v>
      </c>
      <c r="V251" s="30">
        <f>3116560218</f>
        <v>3116560218</v>
      </c>
      <c r="W251" s="30">
        <f>2981997608</f>
        <v>2981997608</v>
      </c>
      <c r="X251" s="34">
        <f>19</f>
        <v>19</v>
      </c>
    </row>
    <row r="252" spans="1:24">
      <c r="A252" s="25" t="s">
        <v>1109</v>
      </c>
      <c r="B252" s="25" t="s">
        <v>548</v>
      </c>
      <c r="C252" s="25" t="s">
        <v>549</v>
      </c>
      <c r="D252" s="25" t="s">
        <v>550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10</v>
      </c>
      <c r="K252" s="31">
        <f>2152</f>
        <v>2152</v>
      </c>
      <c r="L252" s="32" t="s">
        <v>1110</v>
      </c>
      <c r="M252" s="31">
        <f>2296.5</f>
        <v>2296.5</v>
      </c>
      <c r="N252" s="32" t="s">
        <v>676</v>
      </c>
      <c r="O252" s="31">
        <f>2147</f>
        <v>2147</v>
      </c>
      <c r="P252" s="32" t="s">
        <v>1110</v>
      </c>
      <c r="Q252" s="31">
        <f>2282</f>
        <v>2282</v>
      </c>
      <c r="R252" s="32" t="s">
        <v>883</v>
      </c>
      <c r="S252" s="33">
        <f>2238.13</f>
        <v>2238.13</v>
      </c>
      <c r="T252" s="30">
        <f>1269040</f>
        <v>1269040</v>
      </c>
      <c r="U252" s="30">
        <f>982060</f>
        <v>982060</v>
      </c>
      <c r="V252" s="30">
        <f>2847898707</f>
        <v>2847898707</v>
      </c>
      <c r="W252" s="30">
        <f>2206608082</f>
        <v>2206608082</v>
      </c>
      <c r="X252" s="34">
        <f>19</f>
        <v>19</v>
      </c>
    </row>
    <row r="253" spans="1:24">
      <c r="A253" s="25" t="s">
        <v>1109</v>
      </c>
      <c r="B253" s="25" t="s">
        <v>551</v>
      </c>
      <c r="C253" s="25" t="s">
        <v>552</v>
      </c>
      <c r="D253" s="25" t="s">
        <v>553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1471.5</f>
        <v>1471.5</v>
      </c>
      <c r="L253" s="32" t="s">
        <v>1110</v>
      </c>
      <c r="M253" s="31">
        <f>1534</f>
        <v>1534</v>
      </c>
      <c r="N253" s="32" t="s">
        <v>883</v>
      </c>
      <c r="O253" s="31">
        <f>1471.5</f>
        <v>1471.5</v>
      </c>
      <c r="P253" s="32" t="s">
        <v>1110</v>
      </c>
      <c r="Q253" s="31">
        <f>1528.5</f>
        <v>1528.5</v>
      </c>
      <c r="R253" s="32" t="s">
        <v>883</v>
      </c>
      <c r="S253" s="33">
        <f>1507.68</f>
        <v>1507.68</v>
      </c>
      <c r="T253" s="30">
        <f>82750</f>
        <v>82750</v>
      </c>
      <c r="U253" s="30">
        <f>16250</f>
        <v>16250</v>
      </c>
      <c r="V253" s="30">
        <f>124993208</f>
        <v>124993208</v>
      </c>
      <c r="W253" s="30">
        <f>24782373</f>
        <v>24782373</v>
      </c>
      <c r="X253" s="34">
        <f>19</f>
        <v>19</v>
      </c>
    </row>
    <row r="254" spans="1:24">
      <c r="A254" s="25" t="s">
        <v>1109</v>
      </c>
      <c r="B254" s="25" t="s">
        <v>554</v>
      </c>
      <c r="C254" s="25" t="s">
        <v>555</v>
      </c>
      <c r="D254" s="25" t="s">
        <v>556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1290</f>
        <v>1290</v>
      </c>
      <c r="L254" s="32" t="s">
        <v>1110</v>
      </c>
      <c r="M254" s="31">
        <f>1324.5</f>
        <v>1324.5</v>
      </c>
      <c r="N254" s="32" t="s">
        <v>874</v>
      </c>
      <c r="O254" s="31">
        <f>1265.5</f>
        <v>1265.5</v>
      </c>
      <c r="P254" s="32" t="s">
        <v>1124</v>
      </c>
      <c r="Q254" s="31">
        <f>1311</f>
        <v>1311</v>
      </c>
      <c r="R254" s="32" t="s">
        <v>883</v>
      </c>
      <c r="S254" s="33">
        <f>1301.92</f>
        <v>1301.92</v>
      </c>
      <c r="T254" s="30">
        <f>891780</f>
        <v>891780</v>
      </c>
      <c r="U254" s="30">
        <f>189380</f>
        <v>189380</v>
      </c>
      <c r="V254" s="30">
        <f>1154362581</f>
        <v>1154362581</v>
      </c>
      <c r="W254" s="30">
        <f>243741106</f>
        <v>243741106</v>
      </c>
      <c r="X254" s="34">
        <f>19</f>
        <v>19</v>
      </c>
    </row>
    <row r="255" spans="1:24">
      <c r="A255" s="25" t="s">
        <v>1109</v>
      </c>
      <c r="B255" s="25" t="s">
        <v>557</v>
      </c>
      <c r="C255" s="25" t="s">
        <v>1074</v>
      </c>
      <c r="D255" s="25" t="s">
        <v>1075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550</f>
        <v>550</v>
      </c>
      <c r="L255" s="32" t="s">
        <v>1110</v>
      </c>
      <c r="M255" s="31">
        <f>613.7</f>
        <v>613.70000000000005</v>
      </c>
      <c r="N255" s="32" t="s">
        <v>1114</v>
      </c>
      <c r="O255" s="31">
        <f>546</f>
        <v>546</v>
      </c>
      <c r="P255" s="32" t="s">
        <v>1110</v>
      </c>
      <c r="Q255" s="31">
        <f>603.5</f>
        <v>603.5</v>
      </c>
      <c r="R255" s="32" t="s">
        <v>883</v>
      </c>
      <c r="S255" s="33">
        <f>574.86</f>
        <v>574.86</v>
      </c>
      <c r="T255" s="30">
        <f>46388640</f>
        <v>46388640</v>
      </c>
      <c r="U255" s="30">
        <f>1563290</f>
        <v>1563290</v>
      </c>
      <c r="V255" s="30">
        <f>26732542867</f>
        <v>26732542867</v>
      </c>
      <c r="W255" s="30">
        <f>884837937</f>
        <v>884837937</v>
      </c>
      <c r="X255" s="34">
        <f>19</f>
        <v>19</v>
      </c>
    </row>
    <row r="256" spans="1:24">
      <c r="A256" s="25" t="s">
        <v>1109</v>
      </c>
      <c r="B256" s="25" t="s">
        <v>558</v>
      </c>
      <c r="C256" s="25" t="s">
        <v>559</v>
      </c>
      <c r="D256" s="25" t="s">
        <v>560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1085</f>
        <v>1085</v>
      </c>
      <c r="L256" s="32" t="s">
        <v>1110</v>
      </c>
      <c r="M256" s="31">
        <f>1094</f>
        <v>1094</v>
      </c>
      <c r="N256" s="32" t="s">
        <v>674</v>
      </c>
      <c r="O256" s="31">
        <f>1009.5</f>
        <v>1009.5</v>
      </c>
      <c r="P256" s="32" t="s">
        <v>874</v>
      </c>
      <c r="Q256" s="31">
        <f>1025</f>
        <v>1025</v>
      </c>
      <c r="R256" s="32" t="s">
        <v>883</v>
      </c>
      <c r="S256" s="33">
        <f>1047.32</f>
        <v>1047.32</v>
      </c>
      <c r="T256" s="30">
        <f>3684330</f>
        <v>3684330</v>
      </c>
      <c r="U256" s="30">
        <f>2867830</f>
        <v>2867830</v>
      </c>
      <c r="V256" s="30">
        <f>3859521560</f>
        <v>3859521560</v>
      </c>
      <c r="W256" s="30">
        <f>2989021905</f>
        <v>2989021905</v>
      </c>
      <c r="X256" s="34">
        <f>19</f>
        <v>19</v>
      </c>
    </row>
    <row r="257" spans="1:24">
      <c r="A257" s="25" t="s">
        <v>1109</v>
      </c>
      <c r="B257" s="25" t="s">
        <v>561</v>
      </c>
      <c r="C257" s="25" t="s">
        <v>562</v>
      </c>
      <c r="D257" s="25" t="s">
        <v>563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1404</f>
        <v>1404</v>
      </c>
      <c r="L257" s="32" t="s">
        <v>1110</v>
      </c>
      <c r="M257" s="31">
        <f>1519</f>
        <v>1519</v>
      </c>
      <c r="N257" s="32" t="s">
        <v>1111</v>
      </c>
      <c r="O257" s="31">
        <f>1396</f>
        <v>1396</v>
      </c>
      <c r="P257" s="32" t="s">
        <v>1115</v>
      </c>
      <c r="Q257" s="31">
        <f>1492</f>
        <v>1492</v>
      </c>
      <c r="R257" s="32" t="s">
        <v>883</v>
      </c>
      <c r="S257" s="33">
        <f>1446.63</f>
        <v>1446.63</v>
      </c>
      <c r="T257" s="30">
        <f>7734</f>
        <v>7734</v>
      </c>
      <c r="U257" s="30" t="str">
        <f>"－"</f>
        <v>－</v>
      </c>
      <c r="V257" s="30">
        <f>11192763</f>
        <v>11192763</v>
      </c>
      <c r="W257" s="30" t="str">
        <f>"－"</f>
        <v>－</v>
      </c>
      <c r="X257" s="34">
        <f>19</f>
        <v>19</v>
      </c>
    </row>
    <row r="258" spans="1:24">
      <c r="A258" s="25" t="s">
        <v>1109</v>
      </c>
      <c r="B258" s="25" t="s">
        <v>564</v>
      </c>
      <c r="C258" s="25" t="s">
        <v>565</v>
      </c>
      <c r="D258" s="25" t="s">
        <v>566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1011</f>
        <v>1011</v>
      </c>
      <c r="L258" s="32" t="s">
        <v>1110</v>
      </c>
      <c r="M258" s="31">
        <f>1045</f>
        <v>1045</v>
      </c>
      <c r="N258" s="32" t="s">
        <v>883</v>
      </c>
      <c r="O258" s="31">
        <f>1006.5</f>
        <v>1006.5</v>
      </c>
      <c r="P258" s="32" t="s">
        <v>1110</v>
      </c>
      <c r="Q258" s="31">
        <f>1043.5</f>
        <v>1043.5</v>
      </c>
      <c r="R258" s="32" t="s">
        <v>883</v>
      </c>
      <c r="S258" s="33">
        <f>1028.32</f>
        <v>1028.32</v>
      </c>
      <c r="T258" s="30">
        <f>171420</f>
        <v>171420</v>
      </c>
      <c r="U258" s="30">
        <f>77450</f>
        <v>77450</v>
      </c>
      <c r="V258" s="30">
        <f>177254625</f>
        <v>177254625</v>
      </c>
      <c r="W258" s="30">
        <f>80593630</f>
        <v>80593630</v>
      </c>
      <c r="X258" s="34">
        <f>19</f>
        <v>19</v>
      </c>
    </row>
    <row r="259" spans="1:24">
      <c r="A259" s="25" t="s">
        <v>1109</v>
      </c>
      <c r="B259" s="25" t="s">
        <v>567</v>
      </c>
      <c r="C259" s="25" t="s">
        <v>568</v>
      </c>
      <c r="D259" s="25" t="s">
        <v>569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1261</f>
        <v>1261</v>
      </c>
      <c r="L259" s="32" t="s">
        <v>1110</v>
      </c>
      <c r="M259" s="31">
        <f>1360</f>
        <v>1360</v>
      </c>
      <c r="N259" s="32" t="s">
        <v>874</v>
      </c>
      <c r="O259" s="31">
        <f>1252</f>
        <v>1252</v>
      </c>
      <c r="P259" s="32" t="s">
        <v>1110</v>
      </c>
      <c r="Q259" s="31">
        <f>1338</f>
        <v>1338</v>
      </c>
      <c r="R259" s="32" t="s">
        <v>883</v>
      </c>
      <c r="S259" s="33">
        <f>1314.97</f>
        <v>1314.97</v>
      </c>
      <c r="T259" s="30">
        <f>70140</f>
        <v>70140</v>
      </c>
      <c r="U259" s="30" t="str">
        <f>"－"</f>
        <v>－</v>
      </c>
      <c r="V259" s="30">
        <f>92624170</f>
        <v>92624170</v>
      </c>
      <c r="W259" s="30" t="str">
        <f>"－"</f>
        <v>－</v>
      </c>
      <c r="X259" s="34">
        <f>19</f>
        <v>19</v>
      </c>
    </row>
    <row r="260" spans="1:24">
      <c r="A260" s="25" t="s">
        <v>1109</v>
      </c>
      <c r="B260" s="25" t="s">
        <v>570</v>
      </c>
      <c r="C260" s="25" t="s">
        <v>571</v>
      </c>
      <c r="D260" s="25" t="s">
        <v>572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1529.5</f>
        <v>1529.5</v>
      </c>
      <c r="L260" s="32" t="s">
        <v>1110</v>
      </c>
      <c r="M260" s="31">
        <f>1600</f>
        <v>1600</v>
      </c>
      <c r="N260" s="32" t="s">
        <v>676</v>
      </c>
      <c r="O260" s="31">
        <f>1529</f>
        <v>1529</v>
      </c>
      <c r="P260" s="32" t="s">
        <v>1110</v>
      </c>
      <c r="Q260" s="31">
        <f>1594.5</f>
        <v>1594.5</v>
      </c>
      <c r="R260" s="32" t="s">
        <v>883</v>
      </c>
      <c r="S260" s="33">
        <f>1571.95</f>
        <v>1571.95</v>
      </c>
      <c r="T260" s="30">
        <f>3769120</f>
        <v>3769120</v>
      </c>
      <c r="U260" s="30">
        <f>978840</f>
        <v>978840</v>
      </c>
      <c r="V260" s="30">
        <f>5918432533</f>
        <v>5918432533</v>
      </c>
      <c r="W260" s="30">
        <f>1551164668</f>
        <v>1551164668</v>
      </c>
      <c r="X260" s="34">
        <f>19</f>
        <v>19</v>
      </c>
    </row>
    <row r="261" spans="1:24">
      <c r="A261" s="25" t="s">
        <v>1109</v>
      </c>
      <c r="B261" s="25" t="s">
        <v>573</v>
      </c>
      <c r="C261" s="25" t="s">
        <v>574</v>
      </c>
      <c r="D261" s="25" t="s">
        <v>575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</v>
      </c>
      <c r="K261" s="31">
        <f>5060</f>
        <v>5060</v>
      </c>
      <c r="L261" s="32" t="s">
        <v>1110</v>
      </c>
      <c r="M261" s="31">
        <f>5390</f>
        <v>5390</v>
      </c>
      <c r="N261" s="32" t="s">
        <v>1114</v>
      </c>
      <c r="O261" s="31">
        <f>5020</f>
        <v>5020</v>
      </c>
      <c r="P261" s="32" t="s">
        <v>1110</v>
      </c>
      <c r="Q261" s="31">
        <f>5330</f>
        <v>5330</v>
      </c>
      <c r="R261" s="32" t="s">
        <v>883</v>
      </c>
      <c r="S261" s="33">
        <f>5225.26</f>
        <v>5225.26</v>
      </c>
      <c r="T261" s="30">
        <f>60309</f>
        <v>60309</v>
      </c>
      <c r="U261" s="30" t="str">
        <f>"－"</f>
        <v>－</v>
      </c>
      <c r="V261" s="30">
        <f>314692690</f>
        <v>314692690</v>
      </c>
      <c r="W261" s="30" t="str">
        <f>"－"</f>
        <v>－</v>
      </c>
      <c r="X261" s="34">
        <f>19</f>
        <v>19</v>
      </c>
    </row>
    <row r="262" spans="1:24">
      <c r="A262" s="25" t="s">
        <v>1109</v>
      </c>
      <c r="B262" s="25" t="s">
        <v>576</v>
      </c>
      <c r="C262" s="25" t="s">
        <v>577</v>
      </c>
      <c r="D262" s="25" t="s">
        <v>578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2036</f>
        <v>2036</v>
      </c>
      <c r="L262" s="32" t="s">
        <v>1116</v>
      </c>
      <c r="M262" s="31">
        <f>2285</f>
        <v>2285</v>
      </c>
      <c r="N262" s="32" t="s">
        <v>874</v>
      </c>
      <c r="O262" s="31">
        <f>1962</f>
        <v>1962</v>
      </c>
      <c r="P262" s="32" t="s">
        <v>1113</v>
      </c>
      <c r="Q262" s="31">
        <f>2119</f>
        <v>2119</v>
      </c>
      <c r="R262" s="32" t="s">
        <v>883</v>
      </c>
      <c r="S262" s="33">
        <f>2103</f>
        <v>2103</v>
      </c>
      <c r="T262" s="30">
        <f>10710</f>
        <v>10710</v>
      </c>
      <c r="U262" s="30" t="str">
        <f>"－"</f>
        <v>－</v>
      </c>
      <c r="V262" s="30">
        <f>23879690</f>
        <v>23879690</v>
      </c>
      <c r="W262" s="30" t="str">
        <f>"－"</f>
        <v>－</v>
      </c>
      <c r="X262" s="34">
        <f>11</f>
        <v>11</v>
      </c>
    </row>
    <row r="263" spans="1:24">
      <c r="A263" s="25" t="s">
        <v>1109</v>
      </c>
      <c r="B263" s="25" t="s">
        <v>579</v>
      </c>
      <c r="C263" s="25" t="s">
        <v>580</v>
      </c>
      <c r="D263" s="25" t="s">
        <v>581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2618.5</f>
        <v>2618.5</v>
      </c>
      <c r="L263" s="32" t="s">
        <v>1110</v>
      </c>
      <c r="M263" s="31">
        <f>3049</f>
        <v>3049</v>
      </c>
      <c r="N263" s="32" t="s">
        <v>875</v>
      </c>
      <c r="O263" s="31">
        <f>2609</f>
        <v>2609</v>
      </c>
      <c r="P263" s="32" t="s">
        <v>1110</v>
      </c>
      <c r="Q263" s="31">
        <f>2736.5</f>
        <v>2736.5</v>
      </c>
      <c r="R263" s="32" t="s">
        <v>883</v>
      </c>
      <c r="S263" s="33">
        <f>2681.69</f>
        <v>2681.69</v>
      </c>
      <c r="T263" s="30">
        <f>2086030</f>
        <v>2086030</v>
      </c>
      <c r="U263" s="30">
        <f>1896050</f>
        <v>1896050</v>
      </c>
      <c r="V263" s="30">
        <f>5657044648</f>
        <v>5657044648</v>
      </c>
      <c r="W263" s="30">
        <f>5145788388</f>
        <v>5145788388</v>
      </c>
      <c r="X263" s="34">
        <f>18</f>
        <v>18</v>
      </c>
    </row>
    <row r="264" spans="1:24">
      <c r="A264" s="25" t="s">
        <v>1109</v>
      </c>
      <c r="B264" s="25" t="s">
        <v>582</v>
      </c>
      <c r="C264" s="25" t="s">
        <v>583</v>
      </c>
      <c r="D264" s="25" t="s">
        <v>584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36690</f>
        <v>36690</v>
      </c>
      <c r="L264" s="32" t="s">
        <v>1110</v>
      </c>
      <c r="M264" s="31">
        <f>39860</f>
        <v>39860</v>
      </c>
      <c r="N264" s="32" t="s">
        <v>1111</v>
      </c>
      <c r="O264" s="31">
        <f>36640</f>
        <v>36640</v>
      </c>
      <c r="P264" s="32" t="s">
        <v>1110</v>
      </c>
      <c r="Q264" s="31">
        <f>39590</f>
        <v>39590</v>
      </c>
      <c r="R264" s="32" t="s">
        <v>883</v>
      </c>
      <c r="S264" s="33">
        <f>38317.37</f>
        <v>38317.370000000003</v>
      </c>
      <c r="T264" s="30">
        <f>73677</f>
        <v>73677</v>
      </c>
      <c r="U264" s="30">
        <f>30620</f>
        <v>30620</v>
      </c>
      <c r="V264" s="30">
        <f>2844978976</f>
        <v>2844978976</v>
      </c>
      <c r="W264" s="30">
        <f>1185879746</f>
        <v>1185879746</v>
      </c>
      <c r="X264" s="34">
        <f>19</f>
        <v>19</v>
      </c>
    </row>
    <row r="265" spans="1:24">
      <c r="A265" s="25" t="s">
        <v>1109</v>
      </c>
      <c r="B265" s="25" t="s">
        <v>585</v>
      </c>
      <c r="C265" s="25" t="s">
        <v>586</v>
      </c>
      <c r="D265" s="25" t="s">
        <v>587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23500</f>
        <v>23500</v>
      </c>
      <c r="L265" s="32" t="s">
        <v>1110</v>
      </c>
      <c r="M265" s="31">
        <f>24560</f>
        <v>24560</v>
      </c>
      <c r="N265" s="32" t="s">
        <v>1123</v>
      </c>
      <c r="O265" s="31">
        <f>23450</f>
        <v>23450</v>
      </c>
      <c r="P265" s="32" t="s">
        <v>1115</v>
      </c>
      <c r="Q265" s="31">
        <f>24295</f>
        <v>24295</v>
      </c>
      <c r="R265" s="32" t="s">
        <v>883</v>
      </c>
      <c r="S265" s="33">
        <f>23923.57</f>
        <v>23923.57</v>
      </c>
      <c r="T265" s="30">
        <f>43022</f>
        <v>43022</v>
      </c>
      <c r="U265" s="30">
        <f>27000</f>
        <v>27000</v>
      </c>
      <c r="V265" s="30">
        <f>1037981449</f>
        <v>1037981449</v>
      </c>
      <c r="W265" s="30">
        <f>656369274</f>
        <v>656369274</v>
      </c>
      <c r="X265" s="34">
        <f>14</f>
        <v>14</v>
      </c>
    </row>
    <row r="266" spans="1:24">
      <c r="A266" s="25" t="s">
        <v>1109</v>
      </c>
      <c r="B266" s="25" t="s">
        <v>588</v>
      </c>
      <c r="C266" s="25" t="s">
        <v>589</v>
      </c>
      <c r="D266" s="25" t="s">
        <v>590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1075.5</f>
        <v>1075.5</v>
      </c>
      <c r="L266" s="32" t="s">
        <v>1110</v>
      </c>
      <c r="M266" s="31">
        <f>1086.5</f>
        <v>1086.5</v>
      </c>
      <c r="N266" s="32" t="s">
        <v>674</v>
      </c>
      <c r="O266" s="31">
        <f>1015.5</f>
        <v>1015.5</v>
      </c>
      <c r="P266" s="32" t="s">
        <v>874</v>
      </c>
      <c r="Q266" s="31">
        <f>1034.5</f>
        <v>1034.5</v>
      </c>
      <c r="R266" s="32" t="s">
        <v>883</v>
      </c>
      <c r="S266" s="33">
        <f>1048.35</f>
        <v>1048.3499999999999</v>
      </c>
      <c r="T266" s="30">
        <f>315370</f>
        <v>315370</v>
      </c>
      <c r="U266" s="30">
        <f>70000</f>
        <v>70000</v>
      </c>
      <c r="V266" s="30">
        <f>331145836</f>
        <v>331145836</v>
      </c>
      <c r="W266" s="30">
        <f>73601871</f>
        <v>73601871</v>
      </c>
      <c r="X266" s="34">
        <f>17</f>
        <v>17</v>
      </c>
    </row>
    <row r="267" spans="1:24">
      <c r="A267" s="25" t="s">
        <v>1109</v>
      </c>
      <c r="B267" s="25" t="s">
        <v>591</v>
      </c>
      <c r="C267" s="25" t="s">
        <v>946</v>
      </c>
      <c r="D267" s="25" t="s">
        <v>947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1081</f>
        <v>1081</v>
      </c>
      <c r="L267" s="32" t="s">
        <v>1110</v>
      </c>
      <c r="M267" s="31">
        <f>1090</f>
        <v>1090</v>
      </c>
      <c r="N267" s="32" t="s">
        <v>674</v>
      </c>
      <c r="O267" s="31">
        <f>1019</f>
        <v>1019</v>
      </c>
      <c r="P267" s="32" t="s">
        <v>874</v>
      </c>
      <c r="Q267" s="31">
        <f>1034</f>
        <v>1034</v>
      </c>
      <c r="R267" s="32" t="s">
        <v>883</v>
      </c>
      <c r="S267" s="33">
        <f>1052.74</f>
        <v>1052.74</v>
      </c>
      <c r="T267" s="30">
        <f>404540</f>
        <v>404540</v>
      </c>
      <c r="U267" s="30">
        <f>190250</f>
        <v>190250</v>
      </c>
      <c r="V267" s="30">
        <f>425467888</f>
        <v>425467888</v>
      </c>
      <c r="W267" s="30">
        <f>199818698</f>
        <v>199818698</v>
      </c>
      <c r="X267" s="34">
        <f>19</f>
        <v>19</v>
      </c>
    </row>
    <row r="268" spans="1:24">
      <c r="A268" s="25" t="s">
        <v>1109</v>
      </c>
      <c r="B268" s="25" t="s">
        <v>592</v>
      </c>
      <c r="C268" s="25" t="s">
        <v>593</v>
      </c>
      <c r="D268" s="25" t="s">
        <v>594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</v>
      </c>
      <c r="K268" s="31">
        <f>1630</f>
        <v>1630</v>
      </c>
      <c r="L268" s="32" t="s">
        <v>1110</v>
      </c>
      <c r="M268" s="31">
        <f>1673</f>
        <v>1673</v>
      </c>
      <c r="N268" s="32" t="s">
        <v>676</v>
      </c>
      <c r="O268" s="31">
        <f>1600</f>
        <v>1600</v>
      </c>
      <c r="P268" s="32" t="s">
        <v>1115</v>
      </c>
      <c r="Q268" s="31">
        <f>1651</f>
        <v>1651</v>
      </c>
      <c r="R268" s="32" t="s">
        <v>883</v>
      </c>
      <c r="S268" s="33">
        <f>1634.79</f>
        <v>1634.79</v>
      </c>
      <c r="T268" s="30">
        <f>341006</f>
        <v>341006</v>
      </c>
      <c r="U268" s="30">
        <f>153</f>
        <v>153</v>
      </c>
      <c r="V268" s="30">
        <f>557637112</f>
        <v>557637112</v>
      </c>
      <c r="W268" s="30">
        <f>235926</f>
        <v>235926</v>
      </c>
      <c r="X268" s="34">
        <f>19</f>
        <v>19</v>
      </c>
    </row>
    <row r="269" spans="1:24">
      <c r="A269" s="25" t="s">
        <v>1109</v>
      </c>
      <c r="B269" s="25" t="s">
        <v>595</v>
      </c>
      <c r="C269" s="25" t="s">
        <v>596</v>
      </c>
      <c r="D269" s="25" t="s">
        <v>597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</v>
      </c>
      <c r="K269" s="31">
        <f>12030</f>
        <v>12030</v>
      </c>
      <c r="L269" s="32" t="s">
        <v>1110</v>
      </c>
      <c r="M269" s="31">
        <f>13200</f>
        <v>13200</v>
      </c>
      <c r="N269" s="32" t="s">
        <v>676</v>
      </c>
      <c r="O269" s="31">
        <f>11980</f>
        <v>11980</v>
      </c>
      <c r="P269" s="32" t="s">
        <v>876</v>
      </c>
      <c r="Q269" s="31">
        <f>12910</f>
        <v>12910</v>
      </c>
      <c r="R269" s="32" t="s">
        <v>883</v>
      </c>
      <c r="S269" s="33">
        <f>12538.68</f>
        <v>12538.68</v>
      </c>
      <c r="T269" s="30">
        <f>3381</f>
        <v>3381</v>
      </c>
      <c r="U269" s="30" t="str">
        <f>"－"</f>
        <v>－</v>
      </c>
      <c r="V269" s="30">
        <f>41878805</f>
        <v>41878805</v>
      </c>
      <c r="W269" s="30" t="str">
        <f>"－"</f>
        <v>－</v>
      </c>
      <c r="X269" s="34">
        <f>19</f>
        <v>19</v>
      </c>
    </row>
    <row r="270" spans="1:24">
      <c r="A270" s="25" t="s">
        <v>1109</v>
      </c>
      <c r="B270" s="25" t="s">
        <v>598</v>
      </c>
      <c r="C270" s="25" t="s">
        <v>599</v>
      </c>
      <c r="D270" s="25" t="s">
        <v>600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</v>
      </c>
      <c r="K270" s="31">
        <f>1940</f>
        <v>1940</v>
      </c>
      <c r="L270" s="32" t="s">
        <v>1110</v>
      </c>
      <c r="M270" s="31">
        <f>1953</f>
        <v>1953</v>
      </c>
      <c r="N270" s="32" t="s">
        <v>674</v>
      </c>
      <c r="O270" s="31">
        <f>1804</f>
        <v>1804</v>
      </c>
      <c r="P270" s="32" t="s">
        <v>874</v>
      </c>
      <c r="Q270" s="31">
        <f>1836</f>
        <v>1836</v>
      </c>
      <c r="R270" s="32" t="s">
        <v>883</v>
      </c>
      <c r="S270" s="33">
        <f>1871.84</f>
        <v>1871.84</v>
      </c>
      <c r="T270" s="30">
        <f>91945</f>
        <v>91945</v>
      </c>
      <c r="U270" s="30" t="str">
        <f>"－"</f>
        <v>－</v>
      </c>
      <c r="V270" s="30">
        <f>171034358</f>
        <v>171034358</v>
      </c>
      <c r="W270" s="30" t="str">
        <f>"－"</f>
        <v>－</v>
      </c>
      <c r="X270" s="34">
        <f>19</f>
        <v>19</v>
      </c>
    </row>
    <row r="271" spans="1:24">
      <c r="A271" s="25" t="s">
        <v>1109</v>
      </c>
      <c r="B271" s="25" t="s">
        <v>601</v>
      </c>
      <c r="C271" s="25" t="s">
        <v>602</v>
      </c>
      <c r="D271" s="25" t="s">
        <v>603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1354.5</f>
        <v>1354.5</v>
      </c>
      <c r="L271" s="32" t="s">
        <v>1110</v>
      </c>
      <c r="M271" s="31">
        <f>1568</f>
        <v>1568</v>
      </c>
      <c r="N271" s="32" t="s">
        <v>1124</v>
      </c>
      <c r="O271" s="31">
        <f>1318</f>
        <v>1318</v>
      </c>
      <c r="P271" s="32" t="s">
        <v>1124</v>
      </c>
      <c r="Q271" s="31">
        <f>1483.5</f>
        <v>1483.5</v>
      </c>
      <c r="R271" s="32" t="s">
        <v>883</v>
      </c>
      <c r="S271" s="33">
        <f>1425.42</f>
        <v>1425.42</v>
      </c>
      <c r="T271" s="30">
        <f>5070</f>
        <v>5070</v>
      </c>
      <c r="U271" s="30" t="str">
        <f>"－"</f>
        <v>－</v>
      </c>
      <c r="V271" s="30">
        <f>7356735</f>
        <v>7356735</v>
      </c>
      <c r="W271" s="30" t="str">
        <f>"－"</f>
        <v>－</v>
      </c>
      <c r="X271" s="34">
        <f>18</f>
        <v>18</v>
      </c>
    </row>
    <row r="272" spans="1:24">
      <c r="A272" s="25" t="s">
        <v>1109</v>
      </c>
      <c r="B272" s="25" t="s">
        <v>604</v>
      </c>
      <c r="C272" s="25" t="s">
        <v>685</v>
      </c>
      <c r="D272" s="25" t="s">
        <v>686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823.7</f>
        <v>823.7</v>
      </c>
      <c r="L272" s="32" t="s">
        <v>1110</v>
      </c>
      <c r="M272" s="31">
        <f>826.5</f>
        <v>826.5</v>
      </c>
      <c r="N272" s="32" t="s">
        <v>1116</v>
      </c>
      <c r="O272" s="31">
        <f>809.2</f>
        <v>809.2</v>
      </c>
      <c r="P272" s="32" t="s">
        <v>1117</v>
      </c>
      <c r="Q272" s="31">
        <f>811</f>
        <v>811</v>
      </c>
      <c r="R272" s="32" t="s">
        <v>883</v>
      </c>
      <c r="S272" s="33">
        <f>814.98</f>
        <v>814.98</v>
      </c>
      <c r="T272" s="30">
        <f>1046850</f>
        <v>1046850</v>
      </c>
      <c r="U272" s="30">
        <f>621190</f>
        <v>621190</v>
      </c>
      <c r="V272" s="30">
        <f>853120865</f>
        <v>853120865</v>
      </c>
      <c r="W272" s="30">
        <f>506165186</f>
        <v>506165186</v>
      </c>
      <c r="X272" s="34">
        <f>19</f>
        <v>19</v>
      </c>
    </row>
    <row r="273" spans="1:24">
      <c r="A273" s="25" t="s">
        <v>1109</v>
      </c>
      <c r="B273" s="25" t="s">
        <v>605</v>
      </c>
      <c r="C273" s="25" t="s">
        <v>606</v>
      </c>
      <c r="D273" s="25" t="s">
        <v>607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1863.5</f>
        <v>1863.5</v>
      </c>
      <c r="L273" s="32" t="s">
        <v>1110</v>
      </c>
      <c r="M273" s="31">
        <f>1864.5</f>
        <v>1864.5</v>
      </c>
      <c r="N273" s="32" t="s">
        <v>1124</v>
      </c>
      <c r="O273" s="31">
        <f>1728</f>
        <v>1728</v>
      </c>
      <c r="P273" s="32" t="s">
        <v>874</v>
      </c>
      <c r="Q273" s="31">
        <f>1755</f>
        <v>1755</v>
      </c>
      <c r="R273" s="32" t="s">
        <v>883</v>
      </c>
      <c r="S273" s="33">
        <f>1786.79</f>
        <v>1786.79</v>
      </c>
      <c r="T273" s="30">
        <f>531510</f>
        <v>531510</v>
      </c>
      <c r="U273" s="30">
        <f>369060</f>
        <v>369060</v>
      </c>
      <c r="V273" s="30">
        <f>946627440</f>
        <v>946627440</v>
      </c>
      <c r="W273" s="30">
        <f>658409040</f>
        <v>658409040</v>
      </c>
      <c r="X273" s="34">
        <f>19</f>
        <v>19</v>
      </c>
    </row>
    <row r="274" spans="1:24">
      <c r="A274" s="25" t="s">
        <v>1109</v>
      </c>
      <c r="B274" s="25" t="s">
        <v>608</v>
      </c>
      <c r="C274" s="25" t="s">
        <v>609</v>
      </c>
      <c r="D274" s="25" t="s">
        <v>610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1843</f>
        <v>1843</v>
      </c>
      <c r="L274" s="32" t="s">
        <v>1110</v>
      </c>
      <c r="M274" s="31">
        <f>1851.5</f>
        <v>1851.5</v>
      </c>
      <c r="N274" s="32" t="s">
        <v>674</v>
      </c>
      <c r="O274" s="31">
        <f>1723.5</f>
        <v>1723.5</v>
      </c>
      <c r="P274" s="32" t="s">
        <v>874</v>
      </c>
      <c r="Q274" s="31">
        <f>1755.5</f>
        <v>1755.5</v>
      </c>
      <c r="R274" s="32" t="s">
        <v>883</v>
      </c>
      <c r="S274" s="33">
        <f>1788.39</f>
        <v>1788.39</v>
      </c>
      <c r="T274" s="30">
        <f>3098100</f>
        <v>3098100</v>
      </c>
      <c r="U274" s="30">
        <f>1619770</f>
        <v>1619770</v>
      </c>
      <c r="V274" s="30">
        <f>5545660478</f>
        <v>5545660478</v>
      </c>
      <c r="W274" s="30">
        <f>2911666618</f>
        <v>2911666618</v>
      </c>
      <c r="X274" s="34">
        <f>19</f>
        <v>19</v>
      </c>
    </row>
    <row r="275" spans="1:24">
      <c r="A275" s="25" t="s">
        <v>1109</v>
      </c>
      <c r="B275" s="25" t="s">
        <v>611</v>
      </c>
      <c r="C275" s="25" t="s">
        <v>612</v>
      </c>
      <c r="D275" s="25" t="s">
        <v>613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2562</f>
        <v>2562</v>
      </c>
      <c r="L275" s="32" t="s">
        <v>1110</v>
      </c>
      <c r="M275" s="31">
        <f>2712</f>
        <v>2712</v>
      </c>
      <c r="N275" s="32" t="s">
        <v>676</v>
      </c>
      <c r="O275" s="31">
        <f>2554.5</f>
        <v>2554.5</v>
      </c>
      <c r="P275" s="32" t="s">
        <v>1110</v>
      </c>
      <c r="Q275" s="31">
        <f>2701.5</f>
        <v>2701.5</v>
      </c>
      <c r="R275" s="32" t="s">
        <v>883</v>
      </c>
      <c r="S275" s="33">
        <f>2632.37</f>
        <v>2632.37</v>
      </c>
      <c r="T275" s="30">
        <f>2231180</f>
        <v>2231180</v>
      </c>
      <c r="U275" s="30">
        <f>74000</f>
        <v>74000</v>
      </c>
      <c r="V275" s="30">
        <f>5873133795</f>
        <v>5873133795</v>
      </c>
      <c r="W275" s="30">
        <f>198471700</f>
        <v>198471700</v>
      </c>
      <c r="X275" s="34">
        <f>19</f>
        <v>19</v>
      </c>
    </row>
    <row r="276" spans="1:24">
      <c r="A276" s="25" t="s">
        <v>1109</v>
      </c>
      <c r="B276" s="25" t="s">
        <v>614</v>
      </c>
      <c r="C276" s="25" t="s">
        <v>615</v>
      </c>
      <c r="D276" s="25" t="s">
        <v>616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</v>
      </c>
      <c r="K276" s="31">
        <f>20500</f>
        <v>20500</v>
      </c>
      <c r="L276" s="32" t="s">
        <v>1110</v>
      </c>
      <c r="M276" s="31">
        <f>22010</f>
        <v>22010</v>
      </c>
      <c r="N276" s="32" t="s">
        <v>676</v>
      </c>
      <c r="O276" s="31">
        <f>20455</f>
        <v>20455</v>
      </c>
      <c r="P276" s="32" t="s">
        <v>1110</v>
      </c>
      <c r="Q276" s="31">
        <f>21875</f>
        <v>21875</v>
      </c>
      <c r="R276" s="32" t="s">
        <v>883</v>
      </c>
      <c r="S276" s="33">
        <f>21455.53</f>
        <v>21455.53</v>
      </c>
      <c r="T276" s="30">
        <f>759356</f>
        <v>759356</v>
      </c>
      <c r="U276" s="30">
        <f>142375</f>
        <v>142375</v>
      </c>
      <c r="V276" s="30">
        <f>16301780885</f>
        <v>16301780885</v>
      </c>
      <c r="W276" s="30">
        <f>3072612095</f>
        <v>3072612095</v>
      </c>
      <c r="X276" s="34">
        <f>19</f>
        <v>19</v>
      </c>
    </row>
    <row r="277" spans="1:24">
      <c r="A277" s="25" t="s">
        <v>1109</v>
      </c>
      <c r="B277" s="25" t="s">
        <v>617</v>
      </c>
      <c r="C277" s="25" t="s">
        <v>618</v>
      </c>
      <c r="D277" s="25" t="s">
        <v>619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17700</f>
        <v>17700</v>
      </c>
      <c r="L277" s="32" t="s">
        <v>1110</v>
      </c>
      <c r="M277" s="31">
        <f>18835</f>
        <v>18835</v>
      </c>
      <c r="N277" s="32" t="s">
        <v>676</v>
      </c>
      <c r="O277" s="31">
        <f>17600</f>
        <v>17600</v>
      </c>
      <c r="P277" s="32" t="s">
        <v>1110</v>
      </c>
      <c r="Q277" s="31">
        <f>18715</f>
        <v>18715</v>
      </c>
      <c r="R277" s="32" t="s">
        <v>883</v>
      </c>
      <c r="S277" s="33">
        <f>18363.42</f>
        <v>18363.419999999998</v>
      </c>
      <c r="T277" s="30">
        <f>437051</f>
        <v>437051</v>
      </c>
      <c r="U277" s="30">
        <f>2074</f>
        <v>2074</v>
      </c>
      <c r="V277" s="30">
        <f>8023989346</f>
        <v>8023989346</v>
      </c>
      <c r="W277" s="30">
        <f>38441521</f>
        <v>38441521</v>
      </c>
      <c r="X277" s="34">
        <f>19</f>
        <v>19</v>
      </c>
    </row>
    <row r="278" spans="1:24">
      <c r="A278" s="25" t="s">
        <v>1109</v>
      </c>
      <c r="B278" s="25" t="s">
        <v>620</v>
      </c>
      <c r="C278" s="25" t="s">
        <v>621</v>
      </c>
      <c r="D278" s="25" t="s">
        <v>622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33710</f>
        <v>33710</v>
      </c>
      <c r="L278" s="32" t="s">
        <v>1110</v>
      </c>
      <c r="M278" s="31">
        <f>36760</f>
        <v>36760</v>
      </c>
      <c r="N278" s="32" t="s">
        <v>1117</v>
      </c>
      <c r="O278" s="31">
        <f>33710</f>
        <v>33710</v>
      </c>
      <c r="P278" s="32" t="s">
        <v>1110</v>
      </c>
      <c r="Q278" s="31">
        <f>35690</f>
        <v>35690</v>
      </c>
      <c r="R278" s="32" t="s">
        <v>883</v>
      </c>
      <c r="S278" s="33">
        <f>34993.33</f>
        <v>34993.33</v>
      </c>
      <c r="T278" s="30">
        <f>13</f>
        <v>13</v>
      </c>
      <c r="U278" s="30" t="str">
        <f>"－"</f>
        <v>－</v>
      </c>
      <c r="V278" s="30">
        <f>456130</f>
        <v>456130</v>
      </c>
      <c r="W278" s="30" t="str">
        <f>"－"</f>
        <v>－</v>
      </c>
      <c r="X278" s="34">
        <f>9</f>
        <v>9</v>
      </c>
    </row>
    <row r="279" spans="1:24">
      <c r="A279" s="25" t="s">
        <v>1109</v>
      </c>
      <c r="B279" s="25" t="s">
        <v>623</v>
      </c>
      <c r="C279" s="25" t="s">
        <v>624</v>
      </c>
      <c r="D279" s="25" t="s">
        <v>625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2428</f>
        <v>2428</v>
      </c>
      <c r="L279" s="32" t="s">
        <v>1110</v>
      </c>
      <c r="M279" s="31">
        <f>2461</f>
        <v>2461</v>
      </c>
      <c r="N279" s="32" t="s">
        <v>1111</v>
      </c>
      <c r="O279" s="31">
        <f>2426</f>
        <v>2426</v>
      </c>
      <c r="P279" s="32" t="s">
        <v>1110</v>
      </c>
      <c r="Q279" s="31">
        <f>2445</f>
        <v>2445</v>
      </c>
      <c r="R279" s="32" t="s">
        <v>883</v>
      </c>
      <c r="S279" s="33">
        <f>2444.11</f>
        <v>2444.11</v>
      </c>
      <c r="T279" s="30">
        <f>926020</f>
        <v>926020</v>
      </c>
      <c r="U279" s="30">
        <f>515752</f>
        <v>515752</v>
      </c>
      <c r="V279" s="30">
        <f>2262469668</f>
        <v>2262469668</v>
      </c>
      <c r="W279" s="30">
        <f>1262563039</f>
        <v>1262563039</v>
      </c>
      <c r="X279" s="34">
        <f>19</f>
        <v>19</v>
      </c>
    </row>
    <row r="280" spans="1:24">
      <c r="A280" s="25" t="s">
        <v>1109</v>
      </c>
      <c r="B280" s="25" t="s">
        <v>626</v>
      </c>
      <c r="C280" s="25" t="s">
        <v>627</v>
      </c>
      <c r="D280" s="25" t="s">
        <v>628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2988.5</f>
        <v>2988.5</v>
      </c>
      <c r="L280" s="32" t="s">
        <v>1110</v>
      </c>
      <c r="M280" s="31">
        <f>3056</f>
        <v>3056</v>
      </c>
      <c r="N280" s="32" t="s">
        <v>676</v>
      </c>
      <c r="O280" s="31">
        <f>2987.5</f>
        <v>2987.5</v>
      </c>
      <c r="P280" s="32" t="s">
        <v>1117</v>
      </c>
      <c r="Q280" s="31">
        <f>3044</f>
        <v>3044</v>
      </c>
      <c r="R280" s="32" t="s">
        <v>883</v>
      </c>
      <c r="S280" s="33">
        <f>3021.82</f>
        <v>3021.82</v>
      </c>
      <c r="T280" s="30">
        <f>452720</f>
        <v>452720</v>
      </c>
      <c r="U280" s="30">
        <f>33400</f>
        <v>33400</v>
      </c>
      <c r="V280" s="30">
        <f>1363576310</f>
        <v>1363576310</v>
      </c>
      <c r="W280" s="30">
        <f>100215030</f>
        <v>100215030</v>
      </c>
      <c r="X280" s="34">
        <f>19</f>
        <v>19</v>
      </c>
    </row>
    <row r="281" spans="1:24">
      <c r="A281" s="25" t="s">
        <v>1109</v>
      </c>
      <c r="B281" s="25" t="s">
        <v>629</v>
      </c>
      <c r="C281" s="25" t="s">
        <v>630</v>
      </c>
      <c r="D281" s="25" t="s">
        <v>631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287.8</f>
        <v>287.8</v>
      </c>
      <c r="L281" s="32" t="s">
        <v>1110</v>
      </c>
      <c r="M281" s="31">
        <f>299.2</f>
        <v>299.2</v>
      </c>
      <c r="N281" s="32" t="s">
        <v>676</v>
      </c>
      <c r="O281" s="31">
        <f>287.7</f>
        <v>287.7</v>
      </c>
      <c r="P281" s="32" t="s">
        <v>1110</v>
      </c>
      <c r="Q281" s="31">
        <f>298.1</f>
        <v>298.10000000000002</v>
      </c>
      <c r="R281" s="32" t="s">
        <v>883</v>
      </c>
      <c r="S281" s="33">
        <f>294.41</f>
        <v>294.41000000000003</v>
      </c>
      <c r="T281" s="30">
        <f>43525810</f>
        <v>43525810</v>
      </c>
      <c r="U281" s="30">
        <f>13131530</f>
        <v>13131530</v>
      </c>
      <c r="V281" s="30">
        <f>12821458527</f>
        <v>12821458527</v>
      </c>
      <c r="W281" s="30">
        <f>3873579877</f>
        <v>3873579877</v>
      </c>
      <c r="X281" s="34">
        <f>19</f>
        <v>19</v>
      </c>
    </row>
    <row r="282" spans="1:24">
      <c r="A282" s="25" t="s">
        <v>1109</v>
      </c>
      <c r="B282" s="25" t="s">
        <v>632</v>
      </c>
      <c r="C282" s="25" t="s">
        <v>633</v>
      </c>
      <c r="D282" s="25" t="s">
        <v>634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2820</f>
        <v>2820</v>
      </c>
      <c r="L282" s="32" t="s">
        <v>1110</v>
      </c>
      <c r="M282" s="31">
        <f>2851</f>
        <v>2851</v>
      </c>
      <c r="N282" s="32" t="s">
        <v>1113</v>
      </c>
      <c r="O282" s="31">
        <f>2748</f>
        <v>2748</v>
      </c>
      <c r="P282" s="32" t="s">
        <v>875</v>
      </c>
      <c r="Q282" s="31">
        <f>2825</f>
        <v>2825</v>
      </c>
      <c r="R282" s="32" t="s">
        <v>883</v>
      </c>
      <c r="S282" s="33">
        <f>2804</f>
        <v>2804</v>
      </c>
      <c r="T282" s="30">
        <f>979402</f>
        <v>979402</v>
      </c>
      <c r="U282" s="30">
        <f>191066</f>
        <v>191066</v>
      </c>
      <c r="V282" s="30">
        <f>2741913452</f>
        <v>2741913452</v>
      </c>
      <c r="W282" s="30">
        <f>532133341</f>
        <v>532133341</v>
      </c>
      <c r="X282" s="34">
        <f>19</f>
        <v>19</v>
      </c>
    </row>
    <row r="283" spans="1:24">
      <c r="A283" s="25" t="s">
        <v>1109</v>
      </c>
      <c r="B283" s="25" t="s">
        <v>635</v>
      </c>
      <c r="C283" s="25" t="s">
        <v>636</v>
      </c>
      <c r="D283" s="25" t="s">
        <v>637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</v>
      </c>
      <c r="K283" s="31">
        <f>903</f>
        <v>903</v>
      </c>
      <c r="L283" s="32" t="s">
        <v>1110</v>
      </c>
      <c r="M283" s="31">
        <f>914</f>
        <v>914</v>
      </c>
      <c r="N283" s="32" t="s">
        <v>674</v>
      </c>
      <c r="O283" s="31">
        <f>833</f>
        <v>833</v>
      </c>
      <c r="P283" s="32" t="s">
        <v>874</v>
      </c>
      <c r="Q283" s="31">
        <f>855</f>
        <v>855</v>
      </c>
      <c r="R283" s="32" t="s">
        <v>883</v>
      </c>
      <c r="S283" s="33">
        <f>876.21</f>
        <v>876.21</v>
      </c>
      <c r="T283" s="30">
        <f>1109445</f>
        <v>1109445</v>
      </c>
      <c r="U283" s="30">
        <f>282004</f>
        <v>282004</v>
      </c>
      <c r="V283" s="30">
        <f>961161043</f>
        <v>961161043</v>
      </c>
      <c r="W283" s="30">
        <f>239364883</f>
        <v>239364883</v>
      </c>
      <c r="X283" s="34">
        <f>19</f>
        <v>19</v>
      </c>
    </row>
    <row r="284" spans="1:24">
      <c r="A284" s="25" t="s">
        <v>1109</v>
      </c>
      <c r="B284" s="25" t="s">
        <v>638</v>
      </c>
      <c r="C284" s="25" t="s">
        <v>639</v>
      </c>
      <c r="D284" s="25" t="s">
        <v>640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1019</f>
        <v>1019</v>
      </c>
      <c r="L284" s="32" t="s">
        <v>1110</v>
      </c>
      <c r="M284" s="31">
        <f>1022</f>
        <v>1022</v>
      </c>
      <c r="N284" s="32" t="s">
        <v>1124</v>
      </c>
      <c r="O284" s="31">
        <f>948.8</f>
        <v>948.8</v>
      </c>
      <c r="P284" s="32" t="s">
        <v>874</v>
      </c>
      <c r="Q284" s="31">
        <f>965.4</f>
        <v>965.4</v>
      </c>
      <c r="R284" s="32" t="s">
        <v>883</v>
      </c>
      <c r="S284" s="33">
        <f>981.13</f>
        <v>981.13</v>
      </c>
      <c r="T284" s="30">
        <f>3454840</f>
        <v>3454840</v>
      </c>
      <c r="U284" s="30">
        <f>3302000</f>
        <v>3302000</v>
      </c>
      <c r="V284" s="30">
        <f>3376719172</f>
        <v>3376719172</v>
      </c>
      <c r="W284" s="30">
        <f>3226902100</f>
        <v>3226902100</v>
      </c>
      <c r="X284" s="34">
        <f>19</f>
        <v>19</v>
      </c>
    </row>
    <row r="285" spans="1:24">
      <c r="A285" s="25" t="s">
        <v>1109</v>
      </c>
      <c r="B285" s="25" t="s">
        <v>641</v>
      </c>
      <c r="C285" s="25" t="s">
        <v>642</v>
      </c>
      <c r="D285" s="25" t="s">
        <v>643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10</v>
      </c>
      <c r="K285" s="31">
        <f>345.9</f>
        <v>345.9</v>
      </c>
      <c r="L285" s="32" t="s">
        <v>1110</v>
      </c>
      <c r="M285" s="31">
        <f>355.6</f>
        <v>355.6</v>
      </c>
      <c r="N285" s="32" t="s">
        <v>876</v>
      </c>
      <c r="O285" s="31">
        <f>332.8</f>
        <v>332.8</v>
      </c>
      <c r="P285" s="32" t="s">
        <v>1123</v>
      </c>
      <c r="Q285" s="31">
        <f>352.7</f>
        <v>352.7</v>
      </c>
      <c r="R285" s="32" t="s">
        <v>883</v>
      </c>
      <c r="S285" s="33">
        <f>346.56</f>
        <v>346.56</v>
      </c>
      <c r="T285" s="30">
        <f>40220</f>
        <v>40220</v>
      </c>
      <c r="U285" s="30" t="str">
        <f>"－"</f>
        <v>－</v>
      </c>
      <c r="V285" s="30">
        <f>13936366</f>
        <v>13936366</v>
      </c>
      <c r="W285" s="30" t="str">
        <f>"－"</f>
        <v>－</v>
      </c>
      <c r="X285" s="34">
        <f>19</f>
        <v>19</v>
      </c>
    </row>
    <row r="286" spans="1:24">
      <c r="A286" s="25" t="s">
        <v>1109</v>
      </c>
      <c r="B286" s="25" t="s">
        <v>644</v>
      </c>
      <c r="C286" s="25" t="s">
        <v>645</v>
      </c>
      <c r="D286" s="25" t="s">
        <v>646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10</v>
      </c>
      <c r="K286" s="31">
        <f>4341</f>
        <v>4341</v>
      </c>
      <c r="L286" s="32" t="s">
        <v>1110</v>
      </c>
      <c r="M286" s="31">
        <f>4703</f>
        <v>4703</v>
      </c>
      <c r="N286" s="32" t="s">
        <v>874</v>
      </c>
      <c r="O286" s="31">
        <f>4334</f>
        <v>4334</v>
      </c>
      <c r="P286" s="32" t="s">
        <v>1110</v>
      </c>
      <c r="Q286" s="31">
        <f>4609</f>
        <v>4609</v>
      </c>
      <c r="R286" s="32" t="s">
        <v>883</v>
      </c>
      <c r="S286" s="33">
        <f>4547.05</f>
        <v>4547.05</v>
      </c>
      <c r="T286" s="30">
        <f>1366760</f>
        <v>1366760</v>
      </c>
      <c r="U286" s="30">
        <f>27100</f>
        <v>27100</v>
      </c>
      <c r="V286" s="30">
        <f>6218189660</f>
        <v>6218189660</v>
      </c>
      <c r="W286" s="30">
        <f>123612600</f>
        <v>123612600</v>
      </c>
      <c r="X286" s="34">
        <f>19</f>
        <v>19</v>
      </c>
    </row>
    <row r="287" spans="1:24">
      <c r="A287" s="25" t="s">
        <v>1109</v>
      </c>
      <c r="B287" s="25" t="s">
        <v>647</v>
      </c>
      <c r="C287" s="25" t="s">
        <v>648</v>
      </c>
      <c r="D287" s="25" t="s">
        <v>649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2787</f>
        <v>2787</v>
      </c>
      <c r="L287" s="32" t="s">
        <v>1110</v>
      </c>
      <c r="M287" s="31">
        <f>2905.5</f>
        <v>2905.5</v>
      </c>
      <c r="N287" s="32" t="s">
        <v>1114</v>
      </c>
      <c r="O287" s="31">
        <f>2784.5</f>
        <v>2784.5</v>
      </c>
      <c r="P287" s="32" t="s">
        <v>1110</v>
      </c>
      <c r="Q287" s="31">
        <f>2892</f>
        <v>2892</v>
      </c>
      <c r="R287" s="32" t="s">
        <v>883</v>
      </c>
      <c r="S287" s="33">
        <f>2869.47</f>
        <v>2869.47</v>
      </c>
      <c r="T287" s="30">
        <f>3836270</f>
        <v>3836270</v>
      </c>
      <c r="U287" s="30">
        <f>1579600</f>
        <v>1579600</v>
      </c>
      <c r="V287" s="30">
        <f>10971697136</f>
        <v>10971697136</v>
      </c>
      <c r="W287" s="30">
        <f>4518007016</f>
        <v>4518007016</v>
      </c>
      <c r="X287" s="34">
        <f>19</f>
        <v>19</v>
      </c>
    </row>
    <row r="288" spans="1:24">
      <c r="A288" s="25" t="s">
        <v>1109</v>
      </c>
      <c r="B288" s="25" t="s">
        <v>650</v>
      </c>
      <c r="C288" s="25" t="s">
        <v>651</v>
      </c>
      <c r="D288" s="25" t="s">
        <v>652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10</v>
      </c>
      <c r="K288" s="31">
        <f>332.7</f>
        <v>332.7</v>
      </c>
      <c r="L288" s="32" t="s">
        <v>1110</v>
      </c>
      <c r="M288" s="31">
        <f>339.2</f>
        <v>339.2</v>
      </c>
      <c r="N288" s="32" t="s">
        <v>883</v>
      </c>
      <c r="O288" s="31">
        <f>330.9</f>
        <v>330.9</v>
      </c>
      <c r="P288" s="32" t="s">
        <v>1116</v>
      </c>
      <c r="Q288" s="31">
        <f>337.5</f>
        <v>337.5</v>
      </c>
      <c r="R288" s="32" t="s">
        <v>883</v>
      </c>
      <c r="S288" s="33">
        <f>336.49</f>
        <v>336.49</v>
      </c>
      <c r="T288" s="30">
        <f>49850900</f>
        <v>49850900</v>
      </c>
      <c r="U288" s="30">
        <f>39078630</f>
        <v>39078630</v>
      </c>
      <c r="V288" s="30">
        <f>16784497580</f>
        <v>16784497580</v>
      </c>
      <c r="W288" s="30">
        <f>13166547197</f>
        <v>13166547197</v>
      </c>
      <c r="X288" s="34">
        <f>19</f>
        <v>19</v>
      </c>
    </row>
    <row r="289" spans="1:24">
      <c r="A289" s="25" t="s">
        <v>1109</v>
      </c>
      <c r="B289" s="25" t="s">
        <v>653</v>
      </c>
      <c r="C289" s="25" t="s">
        <v>654</v>
      </c>
      <c r="D289" s="25" t="s">
        <v>655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1316</f>
        <v>1316</v>
      </c>
      <c r="L289" s="32" t="s">
        <v>1110</v>
      </c>
      <c r="M289" s="31">
        <f>1331</f>
        <v>1331</v>
      </c>
      <c r="N289" s="32" t="s">
        <v>1116</v>
      </c>
      <c r="O289" s="31">
        <f>1247</f>
        <v>1247</v>
      </c>
      <c r="P289" s="32" t="s">
        <v>874</v>
      </c>
      <c r="Q289" s="31">
        <f>1263</f>
        <v>1263</v>
      </c>
      <c r="R289" s="32" t="s">
        <v>883</v>
      </c>
      <c r="S289" s="33">
        <f>1275.47</f>
        <v>1275.47</v>
      </c>
      <c r="T289" s="30">
        <f>29924335</f>
        <v>29924335</v>
      </c>
      <c r="U289" s="30">
        <f>5348</f>
        <v>5348</v>
      </c>
      <c r="V289" s="30">
        <f>38153393276</f>
        <v>38153393276</v>
      </c>
      <c r="W289" s="30">
        <f>6833416</f>
        <v>6833416</v>
      </c>
      <c r="X289" s="34">
        <f>19</f>
        <v>19</v>
      </c>
    </row>
    <row r="290" spans="1:24">
      <c r="A290" s="25" t="s">
        <v>1109</v>
      </c>
      <c r="B290" s="25" t="s">
        <v>656</v>
      </c>
      <c r="C290" s="25" t="s">
        <v>657</v>
      </c>
      <c r="D290" s="25" t="s">
        <v>658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1774</f>
        <v>1774</v>
      </c>
      <c r="L290" s="32" t="s">
        <v>1110</v>
      </c>
      <c r="M290" s="31">
        <f>1783</f>
        <v>1783</v>
      </c>
      <c r="N290" s="32" t="s">
        <v>1116</v>
      </c>
      <c r="O290" s="31">
        <f>1742</f>
        <v>1742</v>
      </c>
      <c r="P290" s="32" t="s">
        <v>1117</v>
      </c>
      <c r="Q290" s="31">
        <f>1768</f>
        <v>1768</v>
      </c>
      <c r="R290" s="32" t="s">
        <v>883</v>
      </c>
      <c r="S290" s="33">
        <f>1764.05</f>
        <v>1764.05</v>
      </c>
      <c r="T290" s="30">
        <f>89028</f>
        <v>89028</v>
      </c>
      <c r="U290" s="30">
        <f>45580</f>
        <v>45580</v>
      </c>
      <c r="V290" s="30">
        <f>156794820</f>
        <v>156794820</v>
      </c>
      <c r="W290" s="30">
        <f>80184655</f>
        <v>80184655</v>
      </c>
      <c r="X290" s="34">
        <f>19</f>
        <v>19</v>
      </c>
    </row>
    <row r="291" spans="1:24">
      <c r="A291" s="25" t="s">
        <v>1109</v>
      </c>
      <c r="B291" s="25" t="s">
        <v>659</v>
      </c>
      <c r="C291" s="25" t="s">
        <v>660</v>
      </c>
      <c r="D291" s="25" t="s">
        <v>661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2133</f>
        <v>2133</v>
      </c>
      <c r="L291" s="32" t="s">
        <v>1110</v>
      </c>
      <c r="M291" s="31">
        <f>2136</f>
        <v>2136</v>
      </c>
      <c r="N291" s="32" t="s">
        <v>1116</v>
      </c>
      <c r="O291" s="31">
        <f>2101</f>
        <v>2101</v>
      </c>
      <c r="P291" s="32" t="s">
        <v>1114</v>
      </c>
      <c r="Q291" s="31">
        <f>2103</f>
        <v>2103</v>
      </c>
      <c r="R291" s="32" t="s">
        <v>883</v>
      </c>
      <c r="S291" s="33">
        <f>2114.42</f>
        <v>2114.42</v>
      </c>
      <c r="T291" s="30">
        <f>474951</f>
        <v>474951</v>
      </c>
      <c r="U291" s="30">
        <f>471000</f>
        <v>471000</v>
      </c>
      <c r="V291" s="30">
        <f>1008937427</f>
        <v>1008937427</v>
      </c>
      <c r="W291" s="30">
        <f>1000545300</f>
        <v>1000545300</v>
      </c>
      <c r="X291" s="34">
        <f>19</f>
        <v>19</v>
      </c>
    </row>
    <row r="292" spans="1:24">
      <c r="A292" s="25" t="s">
        <v>1109</v>
      </c>
      <c r="B292" s="25" t="s">
        <v>662</v>
      </c>
      <c r="C292" s="25" t="s">
        <v>663</v>
      </c>
      <c r="D292" s="25" t="s">
        <v>948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3605</f>
        <v>3605</v>
      </c>
      <c r="L292" s="32" t="s">
        <v>1110</v>
      </c>
      <c r="M292" s="31">
        <f>3955</f>
        <v>3955</v>
      </c>
      <c r="N292" s="32" t="s">
        <v>676</v>
      </c>
      <c r="O292" s="31">
        <f>3600</f>
        <v>3600</v>
      </c>
      <c r="P292" s="32" t="s">
        <v>1115</v>
      </c>
      <c r="Q292" s="31">
        <f>3935</f>
        <v>3935</v>
      </c>
      <c r="R292" s="32" t="s">
        <v>883</v>
      </c>
      <c r="S292" s="33">
        <f>3793.68</f>
        <v>3793.68</v>
      </c>
      <c r="T292" s="30">
        <f>1369844</f>
        <v>1369844</v>
      </c>
      <c r="U292" s="30">
        <f>200004</f>
        <v>200004</v>
      </c>
      <c r="V292" s="30">
        <f>5148074446</f>
        <v>5148074446</v>
      </c>
      <c r="W292" s="30">
        <f>730885181</f>
        <v>730885181</v>
      </c>
      <c r="X292" s="34">
        <f>19</f>
        <v>19</v>
      </c>
    </row>
    <row r="293" spans="1:24">
      <c r="A293" s="25" t="s">
        <v>1109</v>
      </c>
      <c r="B293" s="25" t="s">
        <v>664</v>
      </c>
      <c r="C293" s="25" t="s">
        <v>665</v>
      </c>
      <c r="D293" s="25" t="s">
        <v>949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2536</f>
        <v>2536</v>
      </c>
      <c r="L293" s="32" t="s">
        <v>1110</v>
      </c>
      <c r="M293" s="31">
        <f>2696</f>
        <v>2696</v>
      </c>
      <c r="N293" s="32" t="s">
        <v>1111</v>
      </c>
      <c r="O293" s="31">
        <f>2530</f>
        <v>2530</v>
      </c>
      <c r="P293" s="32" t="s">
        <v>1110</v>
      </c>
      <c r="Q293" s="31">
        <f>2683</f>
        <v>2683</v>
      </c>
      <c r="R293" s="32" t="s">
        <v>883</v>
      </c>
      <c r="S293" s="33">
        <f>2610.84</f>
        <v>2610.84</v>
      </c>
      <c r="T293" s="30">
        <f>915098</f>
        <v>915098</v>
      </c>
      <c r="U293" s="30">
        <f>147000</f>
        <v>147000</v>
      </c>
      <c r="V293" s="30">
        <f>2397105675</f>
        <v>2397105675</v>
      </c>
      <c r="W293" s="30">
        <f>386491100</f>
        <v>386491100</v>
      </c>
      <c r="X293" s="34">
        <f>19</f>
        <v>19</v>
      </c>
    </row>
    <row r="294" spans="1:24">
      <c r="A294" s="25" t="s">
        <v>1109</v>
      </c>
      <c r="B294" s="25" t="s">
        <v>666</v>
      </c>
      <c r="C294" s="25" t="s">
        <v>667</v>
      </c>
      <c r="D294" s="25" t="s">
        <v>668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</v>
      </c>
      <c r="K294" s="31">
        <f>2150</f>
        <v>2150</v>
      </c>
      <c r="L294" s="32" t="s">
        <v>1110</v>
      </c>
      <c r="M294" s="31">
        <f>2222</f>
        <v>2222</v>
      </c>
      <c r="N294" s="32" t="s">
        <v>874</v>
      </c>
      <c r="O294" s="31">
        <f>2138</f>
        <v>2138</v>
      </c>
      <c r="P294" s="32" t="s">
        <v>1110</v>
      </c>
      <c r="Q294" s="31">
        <f>2213</f>
        <v>2213</v>
      </c>
      <c r="R294" s="32" t="s">
        <v>883</v>
      </c>
      <c r="S294" s="33">
        <f>2192.68</f>
        <v>2192.6799999999998</v>
      </c>
      <c r="T294" s="30">
        <f>56160</f>
        <v>56160</v>
      </c>
      <c r="U294" s="30">
        <f>1</f>
        <v>1</v>
      </c>
      <c r="V294" s="30">
        <f>123153337</f>
        <v>123153337</v>
      </c>
      <c r="W294" s="30">
        <f>2199</f>
        <v>2199</v>
      </c>
      <c r="X294" s="34">
        <f>19</f>
        <v>19</v>
      </c>
    </row>
    <row r="295" spans="1:24">
      <c r="A295" s="25" t="s">
        <v>1109</v>
      </c>
      <c r="B295" s="25" t="s">
        <v>669</v>
      </c>
      <c r="C295" s="25" t="s">
        <v>670</v>
      </c>
      <c r="D295" s="25" t="s">
        <v>671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</v>
      </c>
      <c r="K295" s="31">
        <f>1255</f>
        <v>1255</v>
      </c>
      <c r="L295" s="32" t="s">
        <v>1110</v>
      </c>
      <c r="M295" s="31">
        <f>1299</f>
        <v>1299</v>
      </c>
      <c r="N295" s="32" t="s">
        <v>1114</v>
      </c>
      <c r="O295" s="31">
        <f>1220</f>
        <v>1220</v>
      </c>
      <c r="P295" s="32" t="s">
        <v>1117</v>
      </c>
      <c r="Q295" s="31">
        <f>1291</f>
        <v>1291</v>
      </c>
      <c r="R295" s="32" t="s">
        <v>883</v>
      </c>
      <c r="S295" s="33">
        <f>1269.95</f>
        <v>1269.95</v>
      </c>
      <c r="T295" s="30">
        <f>59849</f>
        <v>59849</v>
      </c>
      <c r="U295" s="30" t="str">
        <f>"－"</f>
        <v>－</v>
      </c>
      <c r="V295" s="30">
        <f>76029739</f>
        <v>76029739</v>
      </c>
      <c r="W295" s="30" t="str">
        <f>"－"</f>
        <v>－</v>
      </c>
      <c r="X295" s="34">
        <f>19</f>
        <v>19</v>
      </c>
    </row>
    <row r="296" spans="1:24">
      <c r="A296" s="25" t="s">
        <v>1109</v>
      </c>
      <c r="B296" s="25" t="s">
        <v>687</v>
      </c>
      <c r="C296" s="25" t="s">
        <v>688</v>
      </c>
      <c r="D296" s="25" t="s">
        <v>689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</v>
      </c>
      <c r="K296" s="31">
        <f>1449</f>
        <v>1449</v>
      </c>
      <c r="L296" s="32" t="s">
        <v>1110</v>
      </c>
      <c r="M296" s="31">
        <f>1744</f>
        <v>1744</v>
      </c>
      <c r="N296" s="32" t="s">
        <v>1115</v>
      </c>
      <c r="O296" s="31">
        <f>1410</f>
        <v>1410</v>
      </c>
      <c r="P296" s="32" t="s">
        <v>674</v>
      </c>
      <c r="Q296" s="31">
        <f>1692</f>
        <v>1692</v>
      </c>
      <c r="R296" s="32" t="s">
        <v>883</v>
      </c>
      <c r="S296" s="33">
        <f>1591.89</f>
        <v>1591.89</v>
      </c>
      <c r="T296" s="30">
        <f>93432</f>
        <v>93432</v>
      </c>
      <c r="U296" s="30" t="str">
        <f>"－"</f>
        <v>－</v>
      </c>
      <c r="V296" s="30">
        <f>148586188</f>
        <v>148586188</v>
      </c>
      <c r="W296" s="30" t="str">
        <f>"－"</f>
        <v>－</v>
      </c>
      <c r="X296" s="34">
        <f>19</f>
        <v>19</v>
      </c>
    </row>
    <row r="297" spans="1:24">
      <c r="A297" s="25" t="s">
        <v>1109</v>
      </c>
      <c r="B297" s="25" t="s">
        <v>690</v>
      </c>
      <c r="C297" s="25" t="s">
        <v>691</v>
      </c>
      <c r="D297" s="25" t="s">
        <v>692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2133</f>
        <v>2133</v>
      </c>
      <c r="L297" s="32" t="s">
        <v>1110</v>
      </c>
      <c r="M297" s="31">
        <f>2326</f>
        <v>2326</v>
      </c>
      <c r="N297" s="32" t="s">
        <v>676</v>
      </c>
      <c r="O297" s="31">
        <f>2025</f>
        <v>2025</v>
      </c>
      <c r="P297" s="32" t="s">
        <v>674</v>
      </c>
      <c r="Q297" s="31">
        <f>2271</f>
        <v>2271</v>
      </c>
      <c r="R297" s="32" t="s">
        <v>883</v>
      </c>
      <c r="S297" s="33">
        <f>2210.21</f>
        <v>2210.21</v>
      </c>
      <c r="T297" s="30">
        <f>7718</f>
        <v>7718</v>
      </c>
      <c r="U297" s="30" t="str">
        <f>"－"</f>
        <v>－</v>
      </c>
      <c r="V297" s="30">
        <f>16759929</f>
        <v>16759929</v>
      </c>
      <c r="W297" s="30" t="str">
        <f>"－"</f>
        <v>－</v>
      </c>
      <c r="X297" s="34">
        <f>19</f>
        <v>19</v>
      </c>
    </row>
    <row r="298" spans="1:24">
      <c r="A298" s="25" t="s">
        <v>1109</v>
      </c>
      <c r="B298" s="25" t="s">
        <v>693</v>
      </c>
      <c r="C298" s="25" t="s">
        <v>694</v>
      </c>
      <c r="D298" s="25" t="s">
        <v>695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11350</f>
        <v>11350</v>
      </c>
      <c r="L298" s="32" t="s">
        <v>1110</v>
      </c>
      <c r="M298" s="31">
        <f>11875</f>
        <v>11875</v>
      </c>
      <c r="N298" s="32" t="s">
        <v>676</v>
      </c>
      <c r="O298" s="31">
        <f>11350</f>
        <v>11350</v>
      </c>
      <c r="P298" s="32" t="s">
        <v>1110</v>
      </c>
      <c r="Q298" s="31">
        <f>11840</f>
        <v>11840</v>
      </c>
      <c r="R298" s="32" t="s">
        <v>883</v>
      </c>
      <c r="S298" s="33">
        <f>11667.11</f>
        <v>11667.11</v>
      </c>
      <c r="T298" s="30">
        <f>421642</f>
        <v>421642</v>
      </c>
      <c r="U298" s="30">
        <f>165497</f>
        <v>165497</v>
      </c>
      <c r="V298" s="30">
        <f>4930279810</f>
        <v>4930279810</v>
      </c>
      <c r="W298" s="30">
        <f>1947412675</f>
        <v>1947412675</v>
      </c>
      <c r="X298" s="34">
        <f>19</f>
        <v>19</v>
      </c>
    </row>
    <row r="299" spans="1:24">
      <c r="A299" s="25" t="s">
        <v>1109</v>
      </c>
      <c r="B299" s="25" t="s">
        <v>696</v>
      </c>
      <c r="C299" s="25" t="s">
        <v>697</v>
      </c>
      <c r="D299" s="25" t="s">
        <v>698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18140</f>
        <v>18140</v>
      </c>
      <c r="L299" s="32" t="s">
        <v>1110</v>
      </c>
      <c r="M299" s="31">
        <f>19430</f>
        <v>19430</v>
      </c>
      <c r="N299" s="32" t="s">
        <v>1114</v>
      </c>
      <c r="O299" s="31">
        <f>18105</f>
        <v>18105</v>
      </c>
      <c r="P299" s="32" t="s">
        <v>1110</v>
      </c>
      <c r="Q299" s="31">
        <f>19250</f>
        <v>19250</v>
      </c>
      <c r="R299" s="32" t="s">
        <v>883</v>
      </c>
      <c r="S299" s="33">
        <f>18998.68</f>
        <v>18998.68</v>
      </c>
      <c r="T299" s="30">
        <f>489492</f>
        <v>489492</v>
      </c>
      <c r="U299" s="30">
        <f>6392</f>
        <v>6392</v>
      </c>
      <c r="V299" s="30">
        <f>9299105960</f>
        <v>9299105960</v>
      </c>
      <c r="W299" s="30">
        <f>116129070</f>
        <v>116129070</v>
      </c>
      <c r="X299" s="34">
        <f>19</f>
        <v>19</v>
      </c>
    </row>
    <row r="300" spans="1:24">
      <c r="A300" s="25" t="s">
        <v>1109</v>
      </c>
      <c r="B300" s="25" t="s">
        <v>699</v>
      </c>
      <c r="C300" s="25" t="s">
        <v>700</v>
      </c>
      <c r="D300" s="25" t="s">
        <v>701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11675</f>
        <v>11675</v>
      </c>
      <c r="L300" s="32" t="s">
        <v>1110</v>
      </c>
      <c r="M300" s="31">
        <f>12170</f>
        <v>12170</v>
      </c>
      <c r="N300" s="32" t="s">
        <v>1114</v>
      </c>
      <c r="O300" s="31">
        <f>11670</f>
        <v>11670</v>
      </c>
      <c r="P300" s="32" t="s">
        <v>1110</v>
      </c>
      <c r="Q300" s="31">
        <f>12115</f>
        <v>12115</v>
      </c>
      <c r="R300" s="32" t="s">
        <v>883</v>
      </c>
      <c r="S300" s="33">
        <f>12011.05</f>
        <v>12011.05</v>
      </c>
      <c r="T300" s="30">
        <f>379528</f>
        <v>379528</v>
      </c>
      <c r="U300" s="30">
        <f>105613</f>
        <v>105613</v>
      </c>
      <c r="V300" s="30">
        <f>4555018955</f>
        <v>4555018955</v>
      </c>
      <c r="W300" s="30">
        <f>1278126200</f>
        <v>1278126200</v>
      </c>
      <c r="X300" s="34">
        <f>19</f>
        <v>19</v>
      </c>
    </row>
    <row r="301" spans="1:24">
      <c r="A301" s="25" t="s">
        <v>1109</v>
      </c>
      <c r="B301" s="25" t="s">
        <v>702</v>
      </c>
      <c r="C301" s="25" t="s">
        <v>703</v>
      </c>
      <c r="D301" s="25" t="s">
        <v>704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329.9</f>
        <v>329.9</v>
      </c>
      <c r="L301" s="32" t="s">
        <v>1110</v>
      </c>
      <c r="M301" s="31">
        <f>354.1</f>
        <v>354.1</v>
      </c>
      <c r="N301" s="32" t="s">
        <v>676</v>
      </c>
      <c r="O301" s="31">
        <f>329.1</f>
        <v>329.1</v>
      </c>
      <c r="P301" s="32" t="s">
        <v>1110</v>
      </c>
      <c r="Q301" s="31">
        <f>351.9</f>
        <v>351.9</v>
      </c>
      <c r="R301" s="32" t="s">
        <v>883</v>
      </c>
      <c r="S301" s="33">
        <f>345.17</f>
        <v>345.17</v>
      </c>
      <c r="T301" s="30">
        <f>14972350</f>
        <v>14972350</v>
      </c>
      <c r="U301" s="30">
        <f>2604530</f>
        <v>2604530</v>
      </c>
      <c r="V301" s="30">
        <f>5178056530</f>
        <v>5178056530</v>
      </c>
      <c r="W301" s="30">
        <f>895976482</f>
        <v>895976482</v>
      </c>
      <c r="X301" s="34">
        <f>19</f>
        <v>19</v>
      </c>
    </row>
    <row r="302" spans="1:24">
      <c r="A302" s="25" t="s">
        <v>1109</v>
      </c>
      <c r="B302" s="25" t="s">
        <v>705</v>
      </c>
      <c r="C302" s="25" t="s">
        <v>706</v>
      </c>
      <c r="D302" s="25" t="s">
        <v>707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2235.5</f>
        <v>2235.5</v>
      </c>
      <c r="L302" s="32" t="s">
        <v>1110</v>
      </c>
      <c r="M302" s="31">
        <f>2340.5</f>
        <v>2340.5</v>
      </c>
      <c r="N302" s="32" t="s">
        <v>676</v>
      </c>
      <c r="O302" s="31">
        <f>2235.5</f>
        <v>2235.5</v>
      </c>
      <c r="P302" s="32" t="s">
        <v>1110</v>
      </c>
      <c r="Q302" s="31">
        <f>2332</f>
        <v>2332</v>
      </c>
      <c r="R302" s="32" t="s">
        <v>883</v>
      </c>
      <c r="S302" s="33">
        <f>2299.39</f>
        <v>2299.39</v>
      </c>
      <c r="T302" s="30">
        <f>2098850</f>
        <v>2098850</v>
      </c>
      <c r="U302" s="30">
        <f>897020</f>
        <v>897020</v>
      </c>
      <c r="V302" s="30">
        <f>4846706518</f>
        <v>4846706518</v>
      </c>
      <c r="W302" s="30">
        <f>2080115123</f>
        <v>2080115123</v>
      </c>
      <c r="X302" s="34">
        <f>19</f>
        <v>19</v>
      </c>
    </row>
    <row r="303" spans="1:24">
      <c r="A303" s="25" t="s">
        <v>1109</v>
      </c>
      <c r="B303" s="25" t="s">
        <v>708</v>
      </c>
      <c r="C303" s="25" t="s">
        <v>709</v>
      </c>
      <c r="D303" s="25" t="s">
        <v>710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10</v>
      </c>
      <c r="K303" s="31">
        <f>3447</f>
        <v>3447</v>
      </c>
      <c r="L303" s="32" t="s">
        <v>1110</v>
      </c>
      <c r="M303" s="31">
        <f>3670</f>
        <v>3670</v>
      </c>
      <c r="N303" s="32" t="s">
        <v>676</v>
      </c>
      <c r="O303" s="31">
        <f>3390</f>
        <v>3390</v>
      </c>
      <c r="P303" s="32" t="s">
        <v>1116</v>
      </c>
      <c r="Q303" s="31">
        <f>3641</f>
        <v>3641</v>
      </c>
      <c r="R303" s="32" t="s">
        <v>883</v>
      </c>
      <c r="S303" s="33">
        <f>3576.16</f>
        <v>3576.16</v>
      </c>
      <c r="T303" s="30">
        <f>23470</f>
        <v>23470</v>
      </c>
      <c r="U303" s="30">
        <f>30</f>
        <v>30</v>
      </c>
      <c r="V303" s="30">
        <f>83253850</f>
        <v>83253850</v>
      </c>
      <c r="W303" s="30">
        <f>104880</f>
        <v>104880</v>
      </c>
      <c r="X303" s="34">
        <f>19</f>
        <v>19</v>
      </c>
    </row>
    <row r="304" spans="1:24">
      <c r="A304" s="25" t="s">
        <v>1109</v>
      </c>
      <c r="B304" s="25" t="s">
        <v>711</v>
      </c>
      <c r="C304" s="25" t="s">
        <v>712</v>
      </c>
      <c r="D304" s="25" t="s">
        <v>713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3100</f>
        <v>3100</v>
      </c>
      <c r="L304" s="32" t="s">
        <v>1110</v>
      </c>
      <c r="M304" s="31">
        <f>3300</f>
        <v>3300</v>
      </c>
      <c r="N304" s="32" t="s">
        <v>1111</v>
      </c>
      <c r="O304" s="31">
        <f>3080</f>
        <v>3080</v>
      </c>
      <c r="P304" s="32" t="s">
        <v>1115</v>
      </c>
      <c r="Q304" s="31">
        <f>3280</f>
        <v>3280</v>
      </c>
      <c r="R304" s="32" t="s">
        <v>883</v>
      </c>
      <c r="S304" s="33">
        <f>3198.16</f>
        <v>3198.16</v>
      </c>
      <c r="T304" s="30">
        <f>331110</f>
        <v>331110</v>
      </c>
      <c r="U304" s="30">
        <f>323000</f>
        <v>323000</v>
      </c>
      <c r="V304" s="30">
        <f>1022256885</f>
        <v>1022256885</v>
      </c>
      <c r="W304" s="30">
        <f>996519600</f>
        <v>996519600</v>
      </c>
      <c r="X304" s="34">
        <f>19</f>
        <v>19</v>
      </c>
    </row>
    <row r="305" spans="1:24">
      <c r="A305" s="25" t="s">
        <v>1109</v>
      </c>
      <c r="B305" s="25" t="s">
        <v>714</v>
      </c>
      <c r="C305" s="25" t="s">
        <v>1035</v>
      </c>
      <c r="D305" s="25" t="s">
        <v>1034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1571</f>
        <v>1571</v>
      </c>
      <c r="L305" s="32" t="s">
        <v>1110</v>
      </c>
      <c r="M305" s="31">
        <f>1664</f>
        <v>1664</v>
      </c>
      <c r="N305" s="32" t="s">
        <v>1114</v>
      </c>
      <c r="O305" s="31">
        <f>1551</f>
        <v>1551</v>
      </c>
      <c r="P305" s="32" t="s">
        <v>1115</v>
      </c>
      <c r="Q305" s="31">
        <f>1659</f>
        <v>1659</v>
      </c>
      <c r="R305" s="32" t="s">
        <v>883</v>
      </c>
      <c r="S305" s="33">
        <f>1603.47</f>
        <v>1603.47</v>
      </c>
      <c r="T305" s="30">
        <f>30542</f>
        <v>30542</v>
      </c>
      <c r="U305" s="30">
        <f>2</f>
        <v>2</v>
      </c>
      <c r="V305" s="30">
        <f>48684491</f>
        <v>48684491</v>
      </c>
      <c r="W305" s="30">
        <f>3166</f>
        <v>3166</v>
      </c>
      <c r="X305" s="34">
        <f>19</f>
        <v>19</v>
      </c>
    </row>
    <row r="306" spans="1:24">
      <c r="A306" s="25" t="s">
        <v>1109</v>
      </c>
      <c r="B306" s="25" t="s">
        <v>715</v>
      </c>
      <c r="C306" s="25" t="s">
        <v>716</v>
      </c>
      <c r="D306" s="25" t="s">
        <v>717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2028</f>
        <v>2028</v>
      </c>
      <c r="L306" s="32" t="s">
        <v>1110</v>
      </c>
      <c r="M306" s="31">
        <f>2185</f>
        <v>2185</v>
      </c>
      <c r="N306" s="32" t="s">
        <v>1114</v>
      </c>
      <c r="O306" s="31">
        <f>1982</f>
        <v>1982</v>
      </c>
      <c r="P306" s="32" t="s">
        <v>1115</v>
      </c>
      <c r="Q306" s="31">
        <f>2143</f>
        <v>2143</v>
      </c>
      <c r="R306" s="32" t="s">
        <v>883</v>
      </c>
      <c r="S306" s="33">
        <f>2069</f>
        <v>2069</v>
      </c>
      <c r="T306" s="30">
        <f>229679</f>
        <v>229679</v>
      </c>
      <c r="U306" s="30">
        <f>3</f>
        <v>3</v>
      </c>
      <c r="V306" s="30">
        <f>476457380</f>
        <v>476457380</v>
      </c>
      <c r="W306" s="30">
        <f>6519</f>
        <v>6519</v>
      </c>
      <c r="X306" s="34">
        <f>19</f>
        <v>19</v>
      </c>
    </row>
    <row r="307" spans="1:24">
      <c r="A307" s="25" t="s">
        <v>1109</v>
      </c>
      <c r="B307" s="25" t="s">
        <v>718</v>
      </c>
      <c r="C307" s="25" t="s">
        <v>719</v>
      </c>
      <c r="D307" s="25" t="s">
        <v>720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1612</f>
        <v>1612</v>
      </c>
      <c r="L307" s="32" t="s">
        <v>1110</v>
      </c>
      <c r="M307" s="31">
        <f>1682</f>
        <v>1682</v>
      </c>
      <c r="N307" s="32" t="s">
        <v>1114</v>
      </c>
      <c r="O307" s="31">
        <f>1573</f>
        <v>1573</v>
      </c>
      <c r="P307" s="32" t="s">
        <v>1115</v>
      </c>
      <c r="Q307" s="31">
        <f>1679</f>
        <v>1679</v>
      </c>
      <c r="R307" s="32" t="s">
        <v>883</v>
      </c>
      <c r="S307" s="33">
        <f>1632.79</f>
        <v>1632.79</v>
      </c>
      <c r="T307" s="30">
        <f>58193</f>
        <v>58193</v>
      </c>
      <c r="U307" s="30" t="str">
        <f>"－"</f>
        <v>－</v>
      </c>
      <c r="V307" s="30">
        <f>94251522</f>
        <v>94251522</v>
      </c>
      <c r="W307" s="30" t="str">
        <f>"－"</f>
        <v>－</v>
      </c>
      <c r="X307" s="34">
        <f>19</f>
        <v>19</v>
      </c>
    </row>
    <row r="308" spans="1:24">
      <c r="A308" s="25" t="s">
        <v>1109</v>
      </c>
      <c r="B308" s="25" t="s">
        <v>721</v>
      </c>
      <c r="C308" s="25" t="s">
        <v>722</v>
      </c>
      <c r="D308" s="25" t="s">
        <v>723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2963</f>
        <v>2963</v>
      </c>
      <c r="L308" s="32" t="s">
        <v>1110</v>
      </c>
      <c r="M308" s="31">
        <f>3145</f>
        <v>3145</v>
      </c>
      <c r="N308" s="32" t="s">
        <v>1124</v>
      </c>
      <c r="O308" s="31">
        <f>2941</f>
        <v>2941</v>
      </c>
      <c r="P308" s="32" t="s">
        <v>1110</v>
      </c>
      <c r="Q308" s="31">
        <f>2983</f>
        <v>2983</v>
      </c>
      <c r="R308" s="32" t="s">
        <v>883</v>
      </c>
      <c r="S308" s="33">
        <f>3023.74</f>
        <v>3023.74</v>
      </c>
      <c r="T308" s="30">
        <f>74427</f>
        <v>74427</v>
      </c>
      <c r="U308" s="30">
        <f>30</f>
        <v>30</v>
      </c>
      <c r="V308" s="30">
        <f>225898655</f>
        <v>225898655</v>
      </c>
      <c r="W308" s="30">
        <f>90900</f>
        <v>90900</v>
      </c>
      <c r="X308" s="34">
        <f>19</f>
        <v>19</v>
      </c>
    </row>
    <row r="309" spans="1:24">
      <c r="A309" s="25" t="s">
        <v>1109</v>
      </c>
      <c r="B309" s="25" t="s">
        <v>724</v>
      </c>
      <c r="C309" s="25" t="s">
        <v>1033</v>
      </c>
      <c r="D309" s="25" t="s">
        <v>1032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2785</f>
        <v>2785</v>
      </c>
      <c r="L309" s="32" t="s">
        <v>1110</v>
      </c>
      <c r="M309" s="31">
        <f>3055</f>
        <v>3055</v>
      </c>
      <c r="N309" s="32" t="s">
        <v>1123</v>
      </c>
      <c r="O309" s="31">
        <f>2752</f>
        <v>2752</v>
      </c>
      <c r="P309" s="32" t="s">
        <v>1124</v>
      </c>
      <c r="Q309" s="31">
        <f>2973</f>
        <v>2973</v>
      </c>
      <c r="R309" s="32" t="s">
        <v>883</v>
      </c>
      <c r="S309" s="33">
        <f>2892.42</f>
        <v>2892.42</v>
      </c>
      <c r="T309" s="30">
        <f>741584</f>
        <v>741584</v>
      </c>
      <c r="U309" s="30" t="str">
        <f>"－"</f>
        <v>－</v>
      </c>
      <c r="V309" s="30">
        <f>2165389936</f>
        <v>2165389936</v>
      </c>
      <c r="W309" s="30" t="str">
        <f>"－"</f>
        <v>－</v>
      </c>
      <c r="X309" s="34">
        <f>19</f>
        <v>19</v>
      </c>
    </row>
    <row r="310" spans="1:24">
      <c r="A310" s="25" t="s">
        <v>1109</v>
      </c>
      <c r="B310" s="25" t="s">
        <v>725</v>
      </c>
      <c r="C310" s="25" t="s">
        <v>726</v>
      </c>
      <c r="D310" s="25" t="s">
        <v>727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33630</f>
        <v>33630</v>
      </c>
      <c r="L310" s="32" t="s">
        <v>1116</v>
      </c>
      <c r="M310" s="31">
        <f>35490</f>
        <v>35490</v>
      </c>
      <c r="N310" s="32" t="s">
        <v>676</v>
      </c>
      <c r="O310" s="31">
        <f>33400</f>
        <v>33400</v>
      </c>
      <c r="P310" s="32" t="s">
        <v>1124</v>
      </c>
      <c r="Q310" s="31">
        <f>35210</f>
        <v>35210</v>
      </c>
      <c r="R310" s="32" t="s">
        <v>883</v>
      </c>
      <c r="S310" s="33">
        <f>34456.25</f>
        <v>34456.25</v>
      </c>
      <c r="T310" s="30">
        <f>93</f>
        <v>93</v>
      </c>
      <c r="U310" s="30" t="str">
        <f>"－"</f>
        <v>－</v>
      </c>
      <c r="V310" s="30">
        <f>3220330</f>
        <v>3220330</v>
      </c>
      <c r="W310" s="30" t="str">
        <f>"－"</f>
        <v>－</v>
      </c>
      <c r="X310" s="34">
        <f>16</f>
        <v>16</v>
      </c>
    </row>
    <row r="311" spans="1:24">
      <c r="A311" s="25" t="s">
        <v>1109</v>
      </c>
      <c r="B311" s="25" t="s">
        <v>728</v>
      </c>
      <c r="C311" s="25" t="s">
        <v>729</v>
      </c>
      <c r="D311" s="25" t="s">
        <v>730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2685</f>
        <v>2685</v>
      </c>
      <c r="L311" s="32" t="s">
        <v>1110</v>
      </c>
      <c r="M311" s="31">
        <f>2794</f>
        <v>2794</v>
      </c>
      <c r="N311" s="32" t="s">
        <v>760</v>
      </c>
      <c r="O311" s="31">
        <f>2608</f>
        <v>2608</v>
      </c>
      <c r="P311" s="32" t="s">
        <v>1124</v>
      </c>
      <c r="Q311" s="31">
        <f>2769</f>
        <v>2769</v>
      </c>
      <c r="R311" s="32" t="s">
        <v>883</v>
      </c>
      <c r="S311" s="33">
        <f>2693.63</f>
        <v>2693.63</v>
      </c>
      <c r="T311" s="30">
        <f>4612</f>
        <v>4612</v>
      </c>
      <c r="U311" s="30" t="str">
        <f>"－"</f>
        <v>－</v>
      </c>
      <c r="V311" s="30">
        <f>12389700</f>
        <v>12389700</v>
      </c>
      <c r="W311" s="30" t="str">
        <f>"－"</f>
        <v>－</v>
      </c>
      <c r="X311" s="34">
        <f>19</f>
        <v>19</v>
      </c>
    </row>
    <row r="312" spans="1:24">
      <c r="A312" s="25" t="s">
        <v>1109</v>
      </c>
      <c r="B312" s="25" t="s">
        <v>731</v>
      </c>
      <c r="C312" s="25" t="s">
        <v>732</v>
      </c>
      <c r="D312" s="25" t="s">
        <v>733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4185</f>
        <v>4185</v>
      </c>
      <c r="L312" s="32" t="s">
        <v>1110</v>
      </c>
      <c r="M312" s="31">
        <f>4965</f>
        <v>4965</v>
      </c>
      <c r="N312" s="32" t="s">
        <v>760</v>
      </c>
      <c r="O312" s="31">
        <f>4170</f>
        <v>4170</v>
      </c>
      <c r="P312" s="32" t="s">
        <v>1110</v>
      </c>
      <c r="Q312" s="31">
        <f>4805</f>
        <v>4805</v>
      </c>
      <c r="R312" s="32" t="s">
        <v>883</v>
      </c>
      <c r="S312" s="33">
        <f>4607.63</f>
        <v>4607.63</v>
      </c>
      <c r="T312" s="30">
        <f>20183943</f>
        <v>20183943</v>
      </c>
      <c r="U312" s="30">
        <f>878485</f>
        <v>878485</v>
      </c>
      <c r="V312" s="30">
        <f>94504773851</f>
        <v>94504773851</v>
      </c>
      <c r="W312" s="30">
        <f>4089765136</f>
        <v>4089765136</v>
      </c>
      <c r="X312" s="34">
        <f>19</f>
        <v>19</v>
      </c>
    </row>
    <row r="313" spans="1:24">
      <c r="A313" s="25" t="s">
        <v>1109</v>
      </c>
      <c r="B313" s="25" t="s">
        <v>734</v>
      </c>
      <c r="C313" s="25" t="s">
        <v>735</v>
      </c>
      <c r="D313" s="25" t="s">
        <v>736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2019</f>
        <v>2019</v>
      </c>
      <c r="L313" s="32" t="s">
        <v>1110</v>
      </c>
      <c r="M313" s="31">
        <f>2115</f>
        <v>2115</v>
      </c>
      <c r="N313" s="32" t="s">
        <v>676</v>
      </c>
      <c r="O313" s="31">
        <f>1985</f>
        <v>1985</v>
      </c>
      <c r="P313" s="32" t="s">
        <v>876</v>
      </c>
      <c r="Q313" s="31">
        <f>2100</f>
        <v>2100</v>
      </c>
      <c r="R313" s="32" t="s">
        <v>883</v>
      </c>
      <c r="S313" s="33">
        <f>2051.16</f>
        <v>2051.16</v>
      </c>
      <c r="T313" s="30">
        <f>10950</f>
        <v>10950</v>
      </c>
      <c r="U313" s="30" t="str">
        <f>"－"</f>
        <v>－</v>
      </c>
      <c r="V313" s="30">
        <f>22473295</f>
        <v>22473295</v>
      </c>
      <c r="W313" s="30" t="str">
        <f>"－"</f>
        <v>－</v>
      </c>
      <c r="X313" s="34">
        <f>19</f>
        <v>19</v>
      </c>
    </row>
    <row r="314" spans="1:24">
      <c r="A314" s="25" t="s">
        <v>1109</v>
      </c>
      <c r="B314" s="25" t="s">
        <v>737</v>
      </c>
      <c r="C314" s="25" t="s">
        <v>738</v>
      </c>
      <c r="D314" s="25" t="s">
        <v>739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1801</f>
        <v>1801</v>
      </c>
      <c r="L314" s="32" t="s">
        <v>1110</v>
      </c>
      <c r="M314" s="31">
        <f>1851</f>
        <v>1851</v>
      </c>
      <c r="N314" s="32" t="s">
        <v>1111</v>
      </c>
      <c r="O314" s="31">
        <f>1775</f>
        <v>1775</v>
      </c>
      <c r="P314" s="32" t="s">
        <v>1117</v>
      </c>
      <c r="Q314" s="31">
        <f>1824</f>
        <v>1824</v>
      </c>
      <c r="R314" s="32" t="s">
        <v>883</v>
      </c>
      <c r="S314" s="33">
        <f>1815.95</f>
        <v>1815.95</v>
      </c>
      <c r="T314" s="30">
        <f>7251</f>
        <v>7251</v>
      </c>
      <c r="U314" s="30" t="str">
        <f>"－"</f>
        <v>－</v>
      </c>
      <c r="V314" s="30">
        <f>13163998</f>
        <v>13163998</v>
      </c>
      <c r="W314" s="30" t="str">
        <f>"－"</f>
        <v>－</v>
      </c>
      <c r="X314" s="34">
        <f>19</f>
        <v>19</v>
      </c>
    </row>
    <row r="315" spans="1:24">
      <c r="A315" s="25" t="s">
        <v>1109</v>
      </c>
      <c r="B315" s="25" t="s">
        <v>740</v>
      </c>
      <c r="C315" s="25" t="s">
        <v>741</v>
      </c>
      <c r="D315" s="25" t="s">
        <v>742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10</v>
      </c>
      <c r="K315" s="31">
        <f>5574</f>
        <v>5574</v>
      </c>
      <c r="L315" s="32" t="s">
        <v>1110</v>
      </c>
      <c r="M315" s="31">
        <f>5574</f>
        <v>5574</v>
      </c>
      <c r="N315" s="32" t="s">
        <v>1110</v>
      </c>
      <c r="O315" s="31">
        <f>5510</f>
        <v>5510</v>
      </c>
      <c r="P315" s="32" t="s">
        <v>1112</v>
      </c>
      <c r="Q315" s="31">
        <f>5535</f>
        <v>5535</v>
      </c>
      <c r="R315" s="32" t="s">
        <v>883</v>
      </c>
      <c r="S315" s="33">
        <f>5542.89</f>
        <v>5542.89</v>
      </c>
      <c r="T315" s="30">
        <f>141580</f>
        <v>141580</v>
      </c>
      <c r="U315" s="30">
        <f>40700</f>
        <v>40700</v>
      </c>
      <c r="V315" s="30">
        <f>785893590</f>
        <v>785893590</v>
      </c>
      <c r="W315" s="30">
        <f>225862860</f>
        <v>225862860</v>
      </c>
      <c r="X315" s="34">
        <f>19</f>
        <v>19</v>
      </c>
    </row>
    <row r="316" spans="1:24">
      <c r="A316" s="25" t="s">
        <v>1109</v>
      </c>
      <c r="B316" s="25" t="s">
        <v>743</v>
      </c>
      <c r="C316" s="25" t="s">
        <v>744</v>
      </c>
      <c r="D316" s="25" t="s">
        <v>745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10</v>
      </c>
      <c r="K316" s="31">
        <f>3878</f>
        <v>3878</v>
      </c>
      <c r="L316" s="32" t="s">
        <v>1110</v>
      </c>
      <c r="M316" s="31">
        <f>3899</f>
        <v>3899</v>
      </c>
      <c r="N316" s="32" t="s">
        <v>1116</v>
      </c>
      <c r="O316" s="31">
        <f>3758</f>
        <v>3758</v>
      </c>
      <c r="P316" s="32" t="s">
        <v>874</v>
      </c>
      <c r="Q316" s="31">
        <f>3772</f>
        <v>3772</v>
      </c>
      <c r="R316" s="32" t="s">
        <v>883</v>
      </c>
      <c r="S316" s="33">
        <f>3801.42</f>
        <v>3801.42</v>
      </c>
      <c r="T316" s="30">
        <f>2063350</f>
        <v>2063350</v>
      </c>
      <c r="U316" s="30">
        <f>1643560</f>
        <v>1643560</v>
      </c>
      <c r="V316" s="30">
        <f>7809766256</f>
        <v>7809766256</v>
      </c>
      <c r="W316" s="30">
        <f>6220953036</f>
        <v>6220953036</v>
      </c>
      <c r="X316" s="34">
        <f>19</f>
        <v>19</v>
      </c>
    </row>
    <row r="317" spans="1:24">
      <c r="A317" s="25" t="s">
        <v>1109</v>
      </c>
      <c r="B317" s="25" t="s">
        <v>746</v>
      </c>
      <c r="C317" s="25" t="s">
        <v>747</v>
      </c>
      <c r="D317" s="25" t="s">
        <v>748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10</v>
      </c>
      <c r="K317" s="31">
        <f>651.2</f>
        <v>651.20000000000005</v>
      </c>
      <c r="L317" s="32" t="s">
        <v>1110</v>
      </c>
      <c r="M317" s="31">
        <f>651.3</f>
        <v>651.29999999999995</v>
      </c>
      <c r="N317" s="32" t="s">
        <v>1116</v>
      </c>
      <c r="O317" s="31">
        <f>633</f>
        <v>633</v>
      </c>
      <c r="P317" s="32" t="s">
        <v>1117</v>
      </c>
      <c r="Q317" s="31">
        <f>633.9</f>
        <v>633.9</v>
      </c>
      <c r="R317" s="32" t="s">
        <v>883</v>
      </c>
      <c r="S317" s="33">
        <f>639.4</f>
        <v>639.4</v>
      </c>
      <c r="T317" s="30">
        <f>52770</f>
        <v>52770</v>
      </c>
      <c r="U317" s="30" t="str">
        <f>"－"</f>
        <v>－</v>
      </c>
      <c r="V317" s="30">
        <f>33688203</f>
        <v>33688203</v>
      </c>
      <c r="W317" s="30" t="str">
        <f>"－"</f>
        <v>－</v>
      </c>
      <c r="X317" s="34">
        <f>19</f>
        <v>19</v>
      </c>
    </row>
    <row r="318" spans="1:24">
      <c r="A318" s="25" t="s">
        <v>1109</v>
      </c>
      <c r="B318" s="25" t="s">
        <v>749</v>
      </c>
      <c r="C318" s="25" t="s">
        <v>750</v>
      </c>
      <c r="D318" s="25" t="s">
        <v>751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2347</f>
        <v>2347</v>
      </c>
      <c r="L318" s="32" t="s">
        <v>1110</v>
      </c>
      <c r="M318" s="31">
        <f>2604</f>
        <v>2604</v>
      </c>
      <c r="N318" s="32" t="s">
        <v>883</v>
      </c>
      <c r="O318" s="31">
        <f>2306</f>
        <v>2306</v>
      </c>
      <c r="P318" s="32" t="s">
        <v>1115</v>
      </c>
      <c r="Q318" s="31">
        <f>2604</f>
        <v>2604</v>
      </c>
      <c r="R318" s="32" t="s">
        <v>883</v>
      </c>
      <c r="S318" s="33">
        <f>2414.79</f>
        <v>2414.79</v>
      </c>
      <c r="T318" s="30">
        <f>4872</f>
        <v>4872</v>
      </c>
      <c r="U318" s="30" t="str">
        <f>"－"</f>
        <v>－</v>
      </c>
      <c r="V318" s="30">
        <f>11969994</f>
        <v>11969994</v>
      </c>
      <c r="W318" s="30" t="str">
        <f>"－"</f>
        <v>－</v>
      </c>
      <c r="X318" s="34">
        <f>19</f>
        <v>19</v>
      </c>
    </row>
    <row r="319" spans="1:24">
      <c r="A319" s="25" t="s">
        <v>1109</v>
      </c>
      <c r="B319" s="25" t="s">
        <v>752</v>
      </c>
      <c r="C319" s="25" t="s">
        <v>1031</v>
      </c>
      <c r="D319" s="25" t="s">
        <v>1030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2171</f>
        <v>2171</v>
      </c>
      <c r="L319" s="32" t="s">
        <v>1110</v>
      </c>
      <c r="M319" s="31">
        <f>2283</f>
        <v>2283</v>
      </c>
      <c r="N319" s="32" t="s">
        <v>1111</v>
      </c>
      <c r="O319" s="31">
        <f>2145</f>
        <v>2145</v>
      </c>
      <c r="P319" s="32" t="s">
        <v>876</v>
      </c>
      <c r="Q319" s="31">
        <f>2237</f>
        <v>2237</v>
      </c>
      <c r="R319" s="32" t="s">
        <v>883</v>
      </c>
      <c r="S319" s="33">
        <f>2204.79</f>
        <v>2204.79</v>
      </c>
      <c r="T319" s="30">
        <f>18517</f>
        <v>18517</v>
      </c>
      <c r="U319" s="30" t="str">
        <f>"－"</f>
        <v>－</v>
      </c>
      <c r="V319" s="30">
        <f>41202833</f>
        <v>41202833</v>
      </c>
      <c r="W319" s="30" t="str">
        <f>"－"</f>
        <v>－</v>
      </c>
      <c r="X319" s="34">
        <f>19</f>
        <v>19</v>
      </c>
    </row>
    <row r="320" spans="1:24">
      <c r="A320" s="25" t="s">
        <v>1109</v>
      </c>
      <c r="B320" s="25" t="s">
        <v>753</v>
      </c>
      <c r="C320" s="25" t="s">
        <v>754</v>
      </c>
      <c r="D320" s="25" t="s">
        <v>755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8328</f>
        <v>8328</v>
      </c>
      <c r="L320" s="32" t="s">
        <v>1110</v>
      </c>
      <c r="M320" s="31">
        <f>8337</f>
        <v>8337</v>
      </c>
      <c r="N320" s="32" t="s">
        <v>1115</v>
      </c>
      <c r="O320" s="31">
        <f>8189</f>
        <v>8189</v>
      </c>
      <c r="P320" s="32" t="s">
        <v>1113</v>
      </c>
      <c r="Q320" s="31">
        <f>8231</f>
        <v>8231</v>
      </c>
      <c r="R320" s="32" t="s">
        <v>883</v>
      </c>
      <c r="S320" s="33">
        <f>8252.16</f>
        <v>8252.16</v>
      </c>
      <c r="T320" s="30">
        <f>40708</f>
        <v>40708</v>
      </c>
      <c r="U320" s="30" t="str">
        <f>"－"</f>
        <v>－</v>
      </c>
      <c r="V320" s="30">
        <f>336192088</f>
        <v>336192088</v>
      </c>
      <c r="W320" s="30" t="str">
        <f>"－"</f>
        <v>－</v>
      </c>
      <c r="X320" s="34">
        <f>19</f>
        <v>19</v>
      </c>
    </row>
    <row r="321" spans="1:24">
      <c r="A321" s="25" t="s">
        <v>1109</v>
      </c>
      <c r="B321" s="25" t="s">
        <v>756</v>
      </c>
      <c r="C321" s="25" t="s">
        <v>757</v>
      </c>
      <c r="D321" s="25" t="s">
        <v>758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5774</f>
        <v>5774</v>
      </c>
      <c r="L321" s="32" t="s">
        <v>1110</v>
      </c>
      <c r="M321" s="31">
        <f>5825</f>
        <v>5825</v>
      </c>
      <c r="N321" s="32" t="s">
        <v>674</v>
      </c>
      <c r="O321" s="31">
        <f>5576</f>
        <v>5576</v>
      </c>
      <c r="P321" s="32" t="s">
        <v>1117</v>
      </c>
      <c r="Q321" s="31">
        <f>5607</f>
        <v>5607</v>
      </c>
      <c r="R321" s="32" t="s">
        <v>883</v>
      </c>
      <c r="S321" s="33">
        <f>5650.37</f>
        <v>5650.37</v>
      </c>
      <c r="T321" s="30">
        <f>91235</f>
        <v>91235</v>
      </c>
      <c r="U321" s="30">
        <f>37001</f>
        <v>37001</v>
      </c>
      <c r="V321" s="30">
        <f>512550693</f>
        <v>512550693</v>
      </c>
      <c r="W321" s="30">
        <f>206695020</f>
        <v>206695020</v>
      </c>
      <c r="X321" s="34">
        <f>19</f>
        <v>19</v>
      </c>
    </row>
    <row r="322" spans="1:24">
      <c r="A322" s="25" t="s">
        <v>1109</v>
      </c>
      <c r="B322" s="25" t="s">
        <v>762</v>
      </c>
      <c r="C322" s="25" t="s">
        <v>763</v>
      </c>
      <c r="D322" s="25" t="s">
        <v>764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23460</f>
        <v>23460</v>
      </c>
      <c r="L322" s="32" t="s">
        <v>1110</v>
      </c>
      <c r="M322" s="31">
        <f>25115</f>
        <v>25115</v>
      </c>
      <c r="N322" s="32" t="s">
        <v>1114</v>
      </c>
      <c r="O322" s="31">
        <f>23415</f>
        <v>23415</v>
      </c>
      <c r="P322" s="32" t="s">
        <v>1110</v>
      </c>
      <c r="Q322" s="31">
        <f>24905</f>
        <v>24905</v>
      </c>
      <c r="R322" s="32" t="s">
        <v>883</v>
      </c>
      <c r="S322" s="33">
        <f>24559.74</f>
        <v>24559.74</v>
      </c>
      <c r="T322" s="30">
        <f>193176</f>
        <v>193176</v>
      </c>
      <c r="U322" s="30">
        <f>30176</f>
        <v>30176</v>
      </c>
      <c r="V322" s="30">
        <f>4726999008</f>
        <v>4726999008</v>
      </c>
      <c r="W322" s="30">
        <f>748101618</f>
        <v>748101618</v>
      </c>
      <c r="X322" s="34">
        <f>19</f>
        <v>19</v>
      </c>
    </row>
    <row r="323" spans="1:24">
      <c r="A323" s="25" t="s">
        <v>1109</v>
      </c>
      <c r="B323" s="25" t="s">
        <v>765</v>
      </c>
      <c r="C323" s="25" t="s">
        <v>766</v>
      </c>
      <c r="D323" s="25" t="s">
        <v>767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11010</f>
        <v>11010</v>
      </c>
      <c r="L323" s="32" t="s">
        <v>1110</v>
      </c>
      <c r="M323" s="31">
        <f>11470</f>
        <v>11470</v>
      </c>
      <c r="N323" s="32" t="s">
        <v>1114</v>
      </c>
      <c r="O323" s="31">
        <f>10995</f>
        <v>10995</v>
      </c>
      <c r="P323" s="32" t="s">
        <v>1110</v>
      </c>
      <c r="Q323" s="31">
        <f>11410</f>
        <v>11410</v>
      </c>
      <c r="R323" s="32" t="s">
        <v>883</v>
      </c>
      <c r="S323" s="33">
        <f>11314.21</f>
        <v>11314.21</v>
      </c>
      <c r="T323" s="30">
        <f>986865</f>
        <v>986865</v>
      </c>
      <c r="U323" s="30">
        <f>282414</f>
        <v>282414</v>
      </c>
      <c r="V323" s="30">
        <f>11156281618</f>
        <v>11156281618</v>
      </c>
      <c r="W323" s="30">
        <f>3200488008</f>
        <v>3200488008</v>
      </c>
      <c r="X323" s="34">
        <f>19</f>
        <v>19</v>
      </c>
    </row>
    <row r="324" spans="1:24">
      <c r="A324" s="25" t="s">
        <v>1109</v>
      </c>
      <c r="B324" s="25" t="s">
        <v>768</v>
      </c>
      <c r="C324" s="25" t="s">
        <v>769</v>
      </c>
      <c r="D324" s="25" t="s">
        <v>770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</v>
      </c>
      <c r="K324" s="31">
        <f>21410</f>
        <v>21410</v>
      </c>
      <c r="L324" s="32" t="s">
        <v>1110</v>
      </c>
      <c r="M324" s="31">
        <f>21410</f>
        <v>21410</v>
      </c>
      <c r="N324" s="32" t="s">
        <v>1110</v>
      </c>
      <c r="O324" s="31">
        <f>20475</f>
        <v>20475</v>
      </c>
      <c r="P324" s="32" t="s">
        <v>1114</v>
      </c>
      <c r="Q324" s="31">
        <f>20580</f>
        <v>20580</v>
      </c>
      <c r="R324" s="32" t="s">
        <v>883</v>
      </c>
      <c r="S324" s="33">
        <f>20784.47</f>
        <v>20784.47</v>
      </c>
      <c r="T324" s="30">
        <f>114530</f>
        <v>114530</v>
      </c>
      <c r="U324" s="30">
        <f>47583</f>
        <v>47583</v>
      </c>
      <c r="V324" s="30">
        <f>2397667087</f>
        <v>2397667087</v>
      </c>
      <c r="W324" s="30">
        <f>1000809952</f>
        <v>1000809952</v>
      </c>
      <c r="X324" s="34">
        <f>19</f>
        <v>19</v>
      </c>
    </row>
    <row r="325" spans="1:24">
      <c r="A325" s="25" t="s">
        <v>1109</v>
      </c>
      <c r="B325" s="25" t="s">
        <v>771</v>
      </c>
      <c r="C325" s="25" t="s">
        <v>772</v>
      </c>
      <c r="D325" s="25" t="s">
        <v>773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4194</f>
        <v>4194</v>
      </c>
      <c r="L325" s="32" t="s">
        <v>674</v>
      </c>
      <c r="M325" s="31">
        <f>4212</f>
        <v>4212</v>
      </c>
      <c r="N325" s="32" t="s">
        <v>1124</v>
      </c>
      <c r="O325" s="31">
        <f>4112</f>
        <v>4112</v>
      </c>
      <c r="P325" s="32" t="s">
        <v>1117</v>
      </c>
      <c r="Q325" s="31">
        <f>4150</f>
        <v>4150</v>
      </c>
      <c r="R325" s="32" t="s">
        <v>1114</v>
      </c>
      <c r="S325" s="33">
        <f>4167.15</f>
        <v>4167.1499999999996</v>
      </c>
      <c r="T325" s="30">
        <f>795240</f>
        <v>795240</v>
      </c>
      <c r="U325" s="30">
        <f>746000</f>
        <v>746000</v>
      </c>
      <c r="V325" s="30">
        <f>3310501250</f>
        <v>3310501250</v>
      </c>
      <c r="W325" s="30">
        <f>3104044100</f>
        <v>3104044100</v>
      </c>
      <c r="X325" s="34">
        <f>13</f>
        <v>13</v>
      </c>
    </row>
    <row r="326" spans="1:24">
      <c r="A326" s="25" t="s">
        <v>1109</v>
      </c>
      <c r="B326" s="25" t="s">
        <v>774</v>
      </c>
      <c r="C326" s="25" t="s">
        <v>775</v>
      </c>
      <c r="D326" s="25" t="s">
        <v>776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5177</f>
        <v>5177</v>
      </c>
      <c r="L326" s="32" t="s">
        <v>1110</v>
      </c>
      <c r="M326" s="31">
        <f>5208</f>
        <v>5208</v>
      </c>
      <c r="N326" s="32" t="s">
        <v>676</v>
      </c>
      <c r="O326" s="31">
        <f>5036</f>
        <v>5036</v>
      </c>
      <c r="P326" s="32" t="s">
        <v>1117</v>
      </c>
      <c r="Q326" s="31">
        <f>5136</f>
        <v>5136</v>
      </c>
      <c r="R326" s="32" t="s">
        <v>883</v>
      </c>
      <c r="S326" s="33">
        <f>5135.5</f>
        <v>5135.5</v>
      </c>
      <c r="T326" s="30">
        <f>862240</f>
        <v>862240</v>
      </c>
      <c r="U326" s="30">
        <f>828900</f>
        <v>828900</v>
      </c>
      <c r="V326" s="30">
        <f>4403731912</f>
        <v>4403731912</v>
      </c>
      <c r="W326" s="30">
        <f>4232691052</f>
        <v>4232691052</v>
      </c>
      <c r="X326" s="34">
        <f>18</f>
        <v>18</v>
      </c>
    </row>
    <row r="327" spans="1:24">
      <c r="A327" s="25" t="s">
        <v>1109</v>
      </c>
      <c r="B327" s="25" t="s">
        <v>786</v>
      </c>
      <c r="C327" s="25" t="s">
        <v>787</v>
      </c>
      <c r="D327" s="25" t="s">
        <v>788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10</v>
      </c>
      <c r="K327" s="31">
        <f>2299</f>
        <v>2299</v>
      </c>
      <c r="L327" s="32" t="s">
        <v>1110</v>
      </c>
      <c r="M327" s="31">
        <f>2391.5</f>
        <v>2391.5</v>
      </c>
      <c r="N327" s="32" t="s">
        <v>1113</v>
      </c>
      <c r="O327" s="31">
        <f>2299</f>
        <v>2299</v>
      </c>
      <c r="P327" s="32" t="s">
        <v>1110</v>
      </c>
      <c r="Q327" s="31">
        <f>2381.5</f>
        <v>2381.5</v>
      </c>
      <c r="R327" s="32" t="s">
        <v>883</v>
      </c>
      <c r="S327" s="33">
        <f>2364.11</f>
        <v>2364.11</v>
      </c>
      <c r="T327" s="30">
        <f>2728870</f>
        <v>2728870</v>
      </c>
      <c r="U327" s="30">
        <f>1015710</f>
        <v>1015710</v>
      </c>
      <c r="V327" s="30">
        <f>6442095382</f>
        <v>6442095382</v>
      </c>
      <c r="W327" s="30">
        <f>2405465382</f>
        <v>2405465382</v>
      </c>
      <c r="X327" s="34">
        <f>19</f>
        <v>19</v>
      </c>
    </row>
    <row r="328" spans="1:24">
      <c r="A328" s="25" t="s">
        <v>1109</v>
      </c>
      <c r="B328" s="25" t="s">
        <v>789</v>
      </c>
      <c r="C328" s="25" t="s">
        <v>790</v>
      </c>
      <c r="D328" s="25" t="s">
        <v>791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10</v>
      </c>
      <c r="K328" s="31">
        <f>2073.5</f>
        <v>2073.5</v>
      </c>
      <c r="L328" s="32" t="s">
        <v>1110</v>
      </c>
      <c r="M328" s="31">
        <f>2101.5</f>
        <v>2101.5</v>
      </c>
      <c r="N328" s="32" t="s">
        <v>676</v>
      </c>
      <c r="O328" s="31">
        <f>2055.5</f>
        <v>2055.5</v>
      </c>
      <c r="P328" s="32" t="s">
        <v>1117</v>
      </c>
      <c r="Q328" s="31">
        <f>2093.5</f>
        <v>2093.5</v>
      </c>
      <c r="R328" s="32" t="s">
        <v>883</v>
      </c>
      <c r="S328" s="33">
        <f>2082.74</f>
        <v>2082.7399999999998</v>
      </c>
      <c r="T328" s="30">
        <f>474830</f>
        <v>474830</v>
      </c>
      <c r="U328" s="30">
        <f>336010</f>
        <v>336010</v>
      </c>
      <c r="V328" s="30">
        <f>989699528</f>
        <v>989699528</v>
      </c>
      <c r="W328" s="30">
        <f>700509503</f>
        <v>700509503</v>
      </c>
      <c r="X328" s="34">
        <f>19</f>
        <v>19</v>
      </c>
    </row>
    <row r="329" spans="1:24">
      <c r="A329" s="25" t="s">
        <v>1109</v>
      </c>
      <c r="B329" s="25" t="s">
        <v>792</v>
      </c>
      <c r="C329" s="25" t="s">
        <v>793</v>
      </c>
      <c r="D329" s="25" t="s">
        <v>794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1870</f>
        <v>1870</v>
      </c>
      <c r="L329" s="32" t="s">
        <v>1110</v>
      </c>
      <c r="M329" s="31">
        <f>1932</f>
        <v>1932</v>
      </c>
      <c r="N329" s="32" t="s">
        <v>1124</v>
      </c>
      <c r="O329" s="31">
        <f>1860</f>
        <v>1860</v>
      </c>
      <c r="P329" s="32" t="s">
        <v>1113</v>
      </c>
      <c r="Q329" s="31">
        <f>1904</f>
        <v>1904</v>
      </c>
      <c r="R329" s="32" t="s">
        <v>883</v>
      </c>
      <c r="S329" s="33">
        <f>1886.58</f>
        <v>1886.58</v>
      </c>
      <c r="T329" s="30">
        <f>3335</f>
        <v>3335</v>
      </c>
      <c r="U329" s="30" t="str">
        <f>"－"</f>
        <v>－</v>
      </c>
      <c r="V329" s="30">
        <f>6288986</f>
        <v>6288986</v>
      </c>
      <c r="W329" s="30" t="str">
        <f>"－"</f>
        <v>－</v>
      </c>
      <c r="X329" s="34">
        <f>19</f>
        <v>19</v>
      </c>
    </row>
    <row r="330" spans="1:24">
      <c r="A330" s="25" t="s">
        <v>1109</v>
      </c>
      <c r="B330" s="25" t="s">
        <v>795</v>
      </c>
      <c r="C330" s="25" t="s">
        <v>796</v>
      </c>
      <c r="D330" s="25" t="s">
        <v>797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1947</f>
        <v>1947</v>
      </c>
      <c r="L330" s="32" t="s">
        <v>1116</v>
      </c>
      <c r="M330" s="31">
        <f>2047</f>
        <v>2047</v>
      </c>
      <c r="N330" s="32" t="s">
        <v>676</v>
      </c>
      <c r="O330" s="31">
        <f>1907</f>
        <v>1907</v>
      </c>
      <c r="P330" s="32" t="s">
        <v>1124</v>
      </c>
      <c r="Q330" s="31">
        <f>2040</f>
        <v>2040</v>
      </c>
      <c r="R330" s="32" t="s">
        <v>883</v>
      </c>
      <c r="S330" s="33">
        <f>1993.64</f>
        <v>1993.64</v>
      </c>
      <c r="T330" s="30">
        <f>6555</f>
        <v>6555</v>
      </c>
      <c r="U330" s="30" t="str">
        <f>"－"</f>
        <v>－</v>
      </c>
      <c r="V330" s="30">
        <f>12996278</f>
        <v>12996278</v>
      </c>
      <c r="W330" s="30" t="str">
        <f>"－"</f>
        <v>－</v>
      </c>
      <c r="X330" s="34">
        <f>14</f>
        <v>14</v>
      </c>
    </row>
    <row r="331" spans="1:24">
      <c r="A331" s="25" t="s">
        <v>1109</v>
      </c>
      <c r="B331" s="25" t="s">
        <v>798</v>
      </c>
      <c r="C331" s="25" t="s">
        <v>799</v>
      </c>
      <c r="D331" s="25" t="s">
        <v>800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4115</f>
        <v>4115</v>
      </c>
      <c r="L331" s="32" t="s">
        <v>1110</v>
      </c>
      <c r="M331" s="31">
        <f>4335</f>
        <v>4335</v>
      </c>
      <c r="N331" s="32" t="s">
        <v>676</v>
      </c>
      <c r="O331" s="31">
        <f>4080</f>
        <v>4080</v>
      </c>
      <c r="P331" s="32" t="s">
        <v>1115</v>
      </c>
      <c r="Q331" s="31">
        <f>4310</f>
        <v>4310</v>
      </c>
      <c r="R331" s="32" t="s">
        <v>883</v>
      </c>
      <c r="S331" s="33">
        <f>4232.89</f>
        <v>4232.8900000000003</v>
      </c>
      <c r="T331" s="30">
        <f>12231</f>
        <v>12231</v>
      </c>
      <c r="U331" s="30">
        <f>3</f>
        <v>3</v>
      </c>
      <c r="V331" s="30">
        <f>51880080</f>
        <v>51880080</v>
      </c>
      <c r="W331" s="30">
        <f>12600</f>
        <v>12600</v>
      </c>
      <c r="X331" s="34">
        <f>19</f>
        <v>19</v>
      </c>
    </row>
    <row r="332" spans="1:24">
      <c r="A332" s="25" t="s">
        <v>1109</v>
      </c>
      <c r="B332" s="25" t="s">
        <v>801</v>
      </c>
      <c r="C332" s="25" t="s">
        <v>802</v>
      </c>
      <c r="D332" s="25" t="s">
        <v>803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10</v>
      </c>
      <c r="K332" s="31">
        <f>2535.5</f>
        <v>2535.5</v>
      </c>
      <c r="L332" s="32" t="s">
        <v>1124</v>
      </c>
      <c r="M332" s="31">
        <f>2741</f>
        <v>2741</v>
      </c>
      <c r="N332" s="32" t="s">
        <v>1111</v>
      </c>
      <c r="O332" s="31">
        <f>2523.5</f>
        <v>2523.5</v>
      </c>
      <c r="P332" s="32" t="s">
        <v>1124</v>
      </c>
      <c r="Q332" s="31">
        <f>2703.5</f>
        <v>2703.5</v>
      </c>
      <c r="R332" s="32" t="s">
        <v>883</v>
      </c>
      <c r="S332" s="33">
        <f>2649.4</f>
        <v>2649.4</v>
      </c>
      <c r="T332" s="30">
        <f>2690</f>
        <v>2690</v>
      </c>
      <c r="U332" s="30" t="str">
        <f>"－"</f>
        <v>－</v>
      </c>
      <c r="V332" s="30">
        <f>6898535</f>
        <v>6898535</v>
      </c>
      <c r="W332" s="30" t="str">
        <f>"－"</f>
        <v>－</v>
      </c>
      <c r="X332" s="34">
        <f>10</f>
        <v>10</v>
      </c>
    </row>
    <row r="333" spans="1:24">
      <c r="A333" s="25" t="s">
        <v>1109</v>
      </c>
      <c r="B333" s="25" t="s">
        <v>812</v>
      </c>
      <c r="C333" s="25" t="s">
        <v>813</v>
      </c>
      <c r="D333" s="25" t="s">
        <v>814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10</v>
      </c>
      <c r="K333" s="31">
        <f>242.8</f>
        <v>242.8</v>
      </c>
      <c r="L333" s="32" t="s">
        <v>1110</v>
      </c>
      <c r="M333" s="31">
        <f>267.2</f>
        <v>267.2</v>
      </c>
      <c r="N333" s="32" t="s">
        <v>1114</v>
      </c>
      <c r="O333" s="31">
        <f>242.8</f>
        <v>242.8</v>
      </c>
      <c r="P333" s="32" t="s">
        <v>1110</v>
      </c>
      <c r="Q333" s="31">
        <f>260.2</f>
        <v>260.2</v>
      </c>
      <c r="R333" s="32" t="s">
        <v>883</v>
      </c>
      <c r="S333" s="33">
        <f>255.82</f>
        <v>255.82</v>
      </c>
      <c r="T333" s="30">
        <f>15470</f>
        <v>15470</v>
      </c>
      <c r="U333" s="30" t="str">
        <f>"－"</f>
        <v>－</v>
      </c>
      <c r="V333" s="30">
        <f>3962481</f>
        <v>3962481</v>
      </c>
      <c r="W333" s="30" t="str">
        <f>"－"</f>
        <v>－</v>
      </c>
      <c r="X333" s="34">
        <f>19</f>
        <v>19</v>
      </c>
    </row>
    <row r="334" spans="1:24">
      <c r="A334" s="25" t="s">
        <v>1109</v>
      </c>
      <c r="B334" s="25" t="s">
        <v>804</v>
      </c>
      <c r="C334" s="25" t="s">
        <v>805</v>
      </c>
      <c r="D334" s="25" t="s">
        <v>806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10</v>
      </c>
      <c r="K334" s="31">
        <f>179</f>
        <v>179</v>
      </c>
      <c r="L334" s="32" t="s">
        <v>1110</v>
      </c>
      <c r="M334" s="31">
        <f>180</f>
        <v>180</v>
      </c>
      <c r="N334" s="32" t="s">
        <v>1124</v>
      </c>
      <c r="O334" s="31">
        <f>164.4</f>
        <v>164.4</v>
      </c>
      <c r="P334" s="32" t="s">
        <v>874</v>
      </c>
      <c r="Q334" s="31">
        <f>168</f>
        <v>168</v>
      </c>
      <c r="R334" s="32" t="s">
        <v>883</v>
      </c>
      <c r="S334" s="33">
        <f>171.47</f>
        <v>171.47</v>
      </c>
      <c r="T334" s="30">
        <f>122370</f>
        <v>122370</v>
      </c>
      <c r="U334" s="30">
        <f>55000</f>
        <v>55000</v>
      </c>
      <c r="V334" s="30">
        <f>21079358</f>
        <v>21079358</v>
      </c>
      <c r="W334" s="30">
        <f>9636550</f>
        <v>9636550</v>
      </c>
      <c r="X334" s="34">
        <f>19</f>
        <v>19</v>
      </c>
    </row>
    <row r="335" spans="1:24">
      <c r="A335" s="25" t="s">
        <v>1109</v>
      </c>
      <c r="B335" s="25" t="s">
        <v>807</v>
      </c>
      <c r="C335" s="25" t="s">
        <v>808</v>
      </c>
      <c r="D335" s="25" t="s">
        <v>809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10</v>
      </c>
      <c r="K335" s="31">
        <f>689.8</f>
        <v>689.8</v>
      </c>
      <c r="L335" s="32" t="s">
        <v>1116</v>
      </c>
      <c r="M335" s="31">
        <f>692.4</f>
        <v>692.4</v>
      </c>
      <c r="N335" s="32" t="s">
        <v>1116</v>
      </c>
      <c r="O335" s="31">
        <f>676.2</f>
        <v>676.2</v>
      </c>
      <c r="P335" s="32" t="s">
        <v>676</v>
      </c>
      <c r="Q335" s="31">
        <f>676.3</f>
        <v>676.3</v>
      </c>
      <c r="R335" s="32" t="s">
        <v>1114</v>
      </c>
      <c r="S335" s="33">
        <f>682.67</f>
        <v>682.67</v>
      </c>
      <c r="T335" s="30">
        <f>32700</f>
        <v>32700</v>
      </c>
      <c r="U335" s="30">
        <f>9650</f>
        <v>9650</v>
      </c>
      <c r="V335" s="30">
        <f>22307273</f>
        <v>22307273</v>
      </c>
      <c r="W335" s="30">
        <f>6580335</f>
        <v>6580335</v>
      </c>
      <c r="X335" s="34">
        <f>11</f>
        <v>11</v>
      </c>
    </row>
    <row r="336" spans="1:24">
      <c r="A336" s="25" t="s">
        <v>1109</v>
      </c>
      <c r="B336" s="25" t="s">
        <v>815</v>
      </c>
      <c r="C336" s="25" t="s">
        <v>816</v>
      </c>
      <c r="D336" s="25" t="s">
        <v>817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1356</f>
        <v>1356</v>
      </c>
      <c r="L336" s="32" t="s">
        <v>1110</v>
      </c>
      <c r="M336" s="31">
        <f>1488</f>
        <v>1488</v>
      </c>
      <c r="N336" s="32" t="s">
        <v>875</v>
      </c>
      <c r="O336" s="31">
        <f>1354</f>
        <v>1354</v>
      </c>
      <c r="P336" s="32" t="s">
        <v>1110</v>
      </c>
      <c r="Q336" s="31">
        <f>1455</f>
        <v>1455</v>
      </c>
      <c r="R336" s="32" t="s">
        <v>883</v>
      </c>
      <c r="S336" s="33">
        <f>1412.37</f>
        <v>1412.37</v>
      </c>
      <c r="T336" s="30">
        <f>540907</f>
        <v>540907</v>
      </c>
      <c r="U336" s="30">
        <f>5</f>
        <v>5</v>
      </c>
      <c r="V336" s="30">
        <f>772913200</f>
        <v>772913200</v>
      </c>
      <c r="W336" s="30">
        <f>6836</f>
        <v>6836</v>
      </c>
      <c r="X336" s="34">
        <f>19</f>
        <v>19</v>
      </c>
    </row>
    <row r="337" spans="1:24">
      <c r="A337" s="25" t="s">
        <v>1109</v>
      </c>
      <c r="B337" s="25" t="s">
        <v>818</v>
      </c>
      <c r="C337" s="25" t="s">
        <v>819</v>
      </c>
      <c r="D337" s="25" t="s">
        <v>820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925</f>
        <v>925</v>
      </c>
      <c r="L337" s="32" t="s">
        <v>1110</v>
      </c>
      <c r="M337" s="31">
        <f>941</f>
        <v>941</v>
      </c>
      <c r="N337" s="32" t="s">
        <v>1124</v>
      </c>
      <c r="O337" s="31">
        <f>863</f>
        <v>863</v>
      </c>
      <c r="P337" s="32" t="s">
        <v>874</v>
      </c>
      <c r="Q337" s="31">
        <f>880</f>
        <v>880</v>
      </c>
      <c r="R337" s="32" t="s">
        <v>883</v>
      </c>
      <c r="S337" s="33">
        <f>898.53</f>
        <v>898.53</v>
      </c>
      <c r="T337" s="30">
        <f>20315</f>
        <v>20315</v>
      </c>
      <c r="U337" s="30" t="str">
        <f>"－"</f>
        <v>－</v>
      </c>
      <c r="V337" s="30">
        <f>18332695</f>
        <v>18332695</v>
      </c>
      <c r="W337" s="30" t="str">
        <f>"－"</f>
        <v>－</v>
      </c>
      <c r="X337" s="34">
        <f>19</f>
        <v>19</v>
      </c>
    </row>
    <row r="338" spans="1:24">
      <c r="A338" s="25" t="s">
        <v>1109</v>
      </c>
      <c r="B338" s="25" t="s">
        <v>821</v>
      </c>
      <c r="C338" s="25" t="s">
        <v>822</v>
      </c>
      <c r="D338" s="25" t="s">
        <v>823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724.8</f>
        <v>724.8</v>
      </c>
      <c r="L338" s="32" t="s">
        <v>1110</v>
      </c>
      <c r="M338" s="31">
        <f>725.6</f>
        <v>725.6</v>
      </c>
      <c r="N338" s="32" t="s">
        <v>1116</v>
      </c>
      <c r="O338" s="31">
        <f>707.7</f>
        <v>707.7</v>
      </c>
      <c r="P338" s="32" t="s">
        <v>1117</v>
      </c>
      <c r="Q338" s="31">
        <f>709.5</f>
        <v>709.5</v>
      </c>
      <c r="R338" s="32" t="s">
        <v>883</v>
      </c>
      <c r="S338" s="33">
        <f>713.53</f>
        <v>713.53</v>
      </c>
      <c r="T338" s="30">
        <f>2637720</f>
        <v>2637720</v>
      </c>
      <c r="U338" s="30">
        <f>61750</f>
        <v>61750</v>
      </c>
      <c r="V338" s="30">
        <f>1894254109</f>
        <v>1894254109</v>
      </c>
      <c r="W338" s="30">
        <f>44053005</f>
        <v>44053005</v>
      </c>
      <c r="X338" s="34">
        <f>19</f>
        <v>19</v>
      </c>
    </row>
    <row r="339" spans="1:24">
      <c r="A339" s="25" t="s">
        <v>1109</v>
      </c>
      <c r="B339" s="25" t="s">
        <v>824</v>
      </c>
      <c r="C339" s="25" t="s">
        <v>825</v>
      </c>
      <c r="D339" s="25" t="s">
        <v>826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709.4</f>
        <v>709.4</v>
      </c>
      <c r="L339" s="32" t="s">
        <v>1110</v>
      </c>
      <c r="M339" s="31">
        <f>710.9</f>
        <v>710.9</v>
      </c>
      <c r="N339" s="32" t="s">
        <v>1116</v>
      </c>
      <c r="O339" s="31">
        <f>690.3</f>
        <v>690.3</v>
      </c>
      <c r="P339" s="32" t="s">
        <v>1114</v>
      </c>
      <c r="Q339" s="31">
        <f>691</f>
        <v>691</v>
      </c>
      <c r="R339" s="32" t="s">
        <v>883</v>
      </c>
      <c r="S339" s="33">
        <f>696.95</f>
        <v>696.95</v>
      </c>
      <c r="T339" s="30">
        <f>5200370</f>
        <v>5200370</v>
      </c>
      <c r="U339" s="30">
        <f>4871330</f>
        <v>4871330</v>
      </c>
      <c r="V339" s="30">
        <f>3636749646</f>
        <v>3636749646</v>
      </c>
      <c r="W339" s="30">
        <f>3406184205</f>
        <v>3406184205</v>
      </c>
      <c r="X339" s="34">
        <f>19</f>
        <v>19</v>
      </c>
    </row>
    <row r="340" spans="1:24">
      <c r="A340" s="25" t="s">
        <v>1109</v>
      </c>
      <c r="B340" s="25" t="s">
        <v>827</v>
      </c>
      <c r="C340" s="25" t="s">
        <v>828</v>
      </c>
      <c r="D340" s="25" t="s">
        <v>829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1211</f>
        <v>1211</v>
      </c>
      <c r="L340" s="32" t="s">
        <v>1110</v>
      </c>
      <c r="M340" s="31">
        <f>1240</f>
        <v>1240</v>
      </c>
      <c r="N340" s="32" t="s">
        <v>676</v>
      </c>
      <c r="O340" s="31">
        <f>1208</f>
        <v>1208</v>
      </c>
      <c r="P340" s="32" t="s">
        <v>1117</v>
      </c>
      <c r="Q340" s="31">
        <f>1226</f>
        <v>1226</v>
      </c>
      <c r="R340" s="32" t="s">
        <v>883</v>
      </c>
      <c r="S340" s="33">
        <f>1221.11</f>
        <v>1221.1099999999999</v>
      </c>
      <c r="T340" s="30">
        <f>10194</f>
        <v>10194</v>
      </c>
      <c r="U340" s="30">
        <f>29</f>
        <v>29</v>
      </c>
      <c r="V340" s="30">
        <f>12442065</f>
        <v>12442065</v>
      </c>
      <c r="W340" s="30">
        <f>37742</f>
        <v>37742</v>
      </c>
      <c r="X340" s="34">
        <f>19</f>
        <v>19</v>
      </c>
    </row>
    <row r="341" spans="1:24">
      <c r="A341" s="25" t="s">
        <v>1109</v>
      </c>
      <c r="B341" s="25" t="s">
        <v>836</v>
      </c>
      <c r="C341" s="25" t="s">
        <v>837</v>
      </c>
      <c r="D341" s="25" t="s">
        <v>838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2487</f>
        <v>2487</v>
      </c>
      <c r="L341" s="32" t="s">
        <v>1110</v>
      </c>
      <c r="M341" s="31">
        <f>2615.5</f>
        <v>2615.5</v>
      </c>
      <c r="N341" s="32" t="s">
        <v>676</v>
      </c>
      <c r="O341" s="31">
        <f>2480.5</f>
        <v>2480.5</v>
      </c>
      <c r="P341" s="32" t="s">
        <v>1110</v>
      </c>
      <c r="Q341" s="31">
        <f>2606.5</f>
        <v>2606.5</v>
      </c>
      <c r="R341" s="32" t="s">
        <v>883</v>
      </c>
      <c r="S341" s="33">
        <f>2535.05</f>
        <v>2535.0500000000002</v>
      </c>
      <c r="T341" s="30">
        <f>99060</f>
        <v>99060</v>
      </c>
      <c r="U341" s="30">
        <f>41990</f>
        <v>41990</v>
      </c>
      <c r="V341" s="30">
        <f>248834427</f>
        <v>248834427</v>
      </c>
      <c r="W341" s="30">
        <f>105365507</f>
        <v>105365507</v>
      </c>
      <c r="X341" s="34">
        <f>19</f>
        <v>19</v>
      </c>
    </row>
    <row r="342" spans="1:24">
      <c r="A342" s="25" t="s">
        <v>1109</v>
      </c>
      <c r="B342" s="25" t="s">
        <v>839</v>
      </c>
      <c r="C342" s="25" t="s">
        <v>840</v>
      </c>
      <c r="D342" s="25" t="s">
        <v>841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2419.5</f>
        <v>2419.5</v>
      </c>
      <c r="L342" s="32" t="s">
        <v>1110</v>
      </c>
      <c r="M342" s="31">
        <f>2537.5</f>
        <v>2537.5</v>
      </c>
      <c r="N342" s="32" t="s">
        <v>676</v>
      </c>
      <c r="O342" s="31">
        <f>2410</f>
        <v>2410</v>
      </c>
      <c r="P342" s="32" t="s">
        <v>1117</v>
      </c>
      <c r="Q342" s="31">
        <f>2515</f>
        <v>2515</v>
      </c>
      <c r="R342" s="32" t="s">
        <v>883</v>
      </c>
      <c r="S342" s="33">
        <f>2446.82</f>
        <v>2446.8200000000002</v>
      </c>
      <c r="T342" s="30">
        <f>582480</f>
        <v>582480</v>
      </c>
      <c r="U342" s="30" t="str">
        <f>"－"</f>
        <v>－</v>
      </c>
      <c r="V342" s="30">
        <f>1434711930</f>
        <v>1434711930</v>
      </c>
      <c r="W342" s="30" t="str">
        <f>"－"</f>
        <v>－</v>
      </c>
      <c r="X342" s="34">
        <f>19</f>
        <v>19</v>
      </c>
    </row>
    <row r="343" spans="1:24">
      <c r="A343" s="25" t="s">
        <v>1109</v>
      </c>
      <c r="B343" s="25" t="s">
        <v>830</v>
      </c>
      <c r="C343" s="25" t="s">
        <v>831</v>
      </c>
      <c r="D343" s="25" t="s">
        <v>832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10</v>
      </c>
      <c r="K343" s="31">
        <f>5359</f>
        <v>5359</v>
      </c>
      <c r="L343" s="32" t="s">
        <v>1116</v>
      </c>
      <c r="M343" s="31">
        <f>5439</f>
        <v>5439</v>
      </c>
      <c r="N343" s="32" t="s">
        <v>676</v>
      </c>
      <c r="O343" s="31">
        <f>5255</f>
        <v>5255</v>
      </c>
      <c r="P343" s="32" t="s">
        <v>876</v>
      </c>
      <c r="Q343" s="31">
        <f>5327</f>
        <v>5327</v>
      </c>
      <c r="R343" s="32" t="s">
        <v>883</v>
      </c>
      <c r="S343" s="33">
        <f>5331.53</f>
        <v>5331.53</v>
      </c>
      <c r="T343" s="30">
        <f>4480</f>
        <v>4480</v>
      </c>
      <c r="U343" s="30" t="str">
        <f>"－"</f>
        <v>－</v>
      </c>
      <c r="V343" s="30">
        <f>23792800</f>
        <v>23792800</v>
      </c>
      <c r="W343" s="30" t="str">
        <f>"－"</f>
        <v>－</v>
      </c>
      <c r="X343" s="34">
        <f>17</f>
        <v>17</v>
      </c>
    </row>
    <row r="344" spans="1:24">
      <c r="A344" s="25" t="s">
        <v>1109</v>
      </c>
      <c r="B344" s="25" t="s">
        <v>833</v>
      </c>
      <c r="C344" s="25" t="s">
        <v>834</v>
      </c>
      <c r="D344" s="25" t="s">
        <v>835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4390</f>
        <v>4390</v>
      </c>
      <c r="L344" s="32" t="s">
        <v>674</v>
      </c>
      <c r="M344" s="31">
        <f>4431</f>
        <v>4431</v>
      </c>
      <c r="N344" s="32" t="s">
        <v>1124</v>
      </c>
      <c r="O344" s="31">
        <f>4290</f>
        <v>4290</v>
      </c>
      <c r="P344" s="32" t="s">
        <v>676</v>
      </c>
      <c r="Q344" s="31">
        <f>4318</f>
        <v>4318</v>
      </c>
      <c r="R344" s="32" t="s">
        <v>1111</v>
      </c>
      <c r="S344" s="33">
        <f>4339</f>
        <v>4339</v>
      </c>
      <c r="T344" s="30">
        <f>262720</f>
        <v>262720</v>
      </c>
      <c r="U344" s="30">
        <f>220840</f>
        <v>220840</v>
      </c>
      <c r="V344" s="30">
        <f>1138025508</f>
        <v>1138025508</v>
      </c>
      <c r="W344" s="30">
        <f>956441848</f>
        <v>956441848</v>
      </c>
      <c r="X344" s="34">
        <f>11</f>
        <v>11</v>
      </c>
    </row>
    <row r="345" spans="1:24">
      <c r="A345" s="25" t="s">
        <v>1109</v>
      </c>
      <c r="B345" s="25" t="s">
        <v>842</v>
      </c>
      <c r="C345" s="25" t="s">
        <v>843</v>
      </c>
      <c r="D345" s="25" t="s">
        <v>844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10</v>
      </c>
      <c r="K345" s="31">
        <f>1933</f>
        <v>1933</v>
      </c>
      <c r="L345" s="32" t="s">
        <v>1110</v>
      </c>
      <c r="M345" s="31">
        <f>1944.5</f>
        <v>1944.5</v>
      </c>
      <c r="N345" s="32" t="s">
        <v>1116</v>
      </c>
      <c r="O345" s="31">
        <f>1873</f>
        <v>1873</v>
      </c>
      <c r="P345" s="32" t="s">
        <v>875</v>
      </c>
      <c r="Q345" s="31">
        <f>1912.5</f>
        <v>1912.5</v>
      </c>
      <c r="R345" s="32" t="s">
        <v>1111</v>
      </c>
      <c r="S345" s="33">
        <f>1921.39</f>
        <v>1921.39</v>
      </c>
      <c r="T345" s="30">
        <f>2400</f>
        <v>2400</v>
      </c>
      <c r="U345" s="30" t="str">
        <f>"－"</f>
        <v>－</v>
      </c>
      <c r="V345" s="30">
        <f>4598930</f>
        <v>4598930</v>
      </c>
      <c r="W345" s="30" t="str">
        <f>"－"</f>
        <v>－</v>
      </c>
      <c r="X345" s="34">
        <f>14</f>
        <v>14</v>
      </c>
    </row>
    <row r="346" spans="1:24">
      <c r="A346" s="25" t="s">
        <v>1109</v>
      </c>
      <c r="B346" s="25" t="s">
        <v>845</v>
      </c>
      <c r="C346" s="25" t="s">
        <v>846</v>
      </c>
      <c r="D346" s="25" t="s">
        <v>847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1244</f>
        <v>1244</v>
      </c>
      <c r="L346" s="32" t="s">
        <v>1110</v>
      </c>
      <c r="M346" s="31">
        <f>1364</f>
        <v>1364</v>
      </c>
      <c r="N346" s="32" t="s">
        <v>874</v>
      </c>
      <c r="O346" s="31">
        <f>1244</f>
        <v>1244</v>
      </c>
      <c r="P346" s="32" t="s">
        <v>1110</v>
      </c>
      <c r="Q346" s="31">
        <f>1324</f>
        <v>1324</v>
      </c>
      <c r="R346" s="32" t="s">
        <v>883</v>
      </c>
      <c r="S346" s="33">
        <f>1307.26</f>
        <v>1307.26</v>
      </c>
      <c r="T346" s="30">
        <f>5022</f>
        <v>5022</v>
      </c>
      <c r="U346" s="30" t="str">
        <f>"－"</f>
        <v>－</v>
      </c>
      <c r="V346" s="30">
        <f>6486191</f>
        <v>6486191</v>
      </c>
      <c r="W346" s="30" t="str">
        <f>"－"</f>
        <v>－</v>
      </c>
      <c r="X346" s="34">
        <f>19</f>
        <v>19</v>
      </c>
    </row>
    <row r="347" spans="1:24">
      <c r="A347" s="25" t="s">
        <v>1109</v>
      </c>
      <c r="B347" s="25" t="s">
        <v>848</v>
      </c>
      <c r="C347" s="25" t="s">
        <v>849</v>
      </c>
      <c r="D347" s="25" t="s">
        <v>850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1140</f>
        <v>1140</v>
      </c>
      <c r="L347" s="32" t="s">
        <v>1110</v>
      </c>
      <c r="M347" s="31">
        <f>1196</f>
        <v>1196</v>
      </c>
      <c r="N347" s="32" t="s">
        <v>1115</v>
      </c>
      <c r="O347" s="31">
        <f>1132</f>
        <v>1132</v>
      </c>
      <c r="P347" s="32" t="s">
        <v>1110</v>
      </c>
      <c r="Q347" s="31">
        <f>1181</f>
        <v>1181</v>
      </c>
      <c r="R347" s="32" t="s">
        <v>883</v>
      </c>
      <c r="S347" s="33">
        <f>1162.21</f>
        <v>1162.21</v>
      </c>
      <c r="T347" s="30">
        <f>1770197</f>
        <v>1770197</v>
      </c>
      <c r="U347" s="30">
        <f>431542</f>
        <v>431542</v>
      </c>
      <c r="V347" s="30">
        <f>2056126107</f>
        <v>2056126107</v>
      </c>
      <c r="W347" s="30">
        <f>499777445</f>
        <v>499777445</v>
      </c>
      <c r="X347" s="34">
        <f>19</f>
        <v>19</v>
      </c>
    </row>
    <row r="348" spans="1:24">
      <c r="A348" s="25" t="s">
        <v>1109</v>
      </c>
      <c r="B348" s="25" t="s">
        <v>851</v>
      </c>
      <c r="C348" s="25" t="s">
        <v>852</v>
      </c>
      <c r="D348" s="25" t="s">
        <v>853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</v>
      </c>
      <c r="K348" s="31">
        <f>997</f>
        <v>997</v>
      </c>
      <c r="L348" s="32" t="s">
        <v>1110</v>
      </c>
      <c r="M348" s="31">
        <f>1018</f>
        <v>1018</v>
      </c>
      <c r="N348" s="32" t="s">
        <v>676</v>
      </c>
      <c r="O348" s="31">
        <f>986</f>
        <v>986</v>
      </c>
      <c r="P348" s="32" t="s">
        <v>1115</v>
      </c>
      <c r="Q348" s="31">
        <f>1010</f>
        <v>1010</v>
      </c>
      <c r="R348" s="32" t="s">
        <v>883</v>
      </c>
      <c r="S348" s="33">
        <f>1002.32</f>
        <v>1002.32</v>
      </c>
      <c r="T348" s="30">
        <f>664545</f>
        <v>664545</v>
      </c>
      <c r="U348" s="30">
        <f>30</f>
        <v>30</v>
      </c>
      <c r="V348" s="30">
        <f>665458069</f>
        <v>665458069</v>
      </c>
      <c r="W348" s="30">
        <f>30285</f>
        <v>30285</v>
      </c>
      <c r="X348" s="34">
        <f>19</f>
        <v>19</v>
      </c>
    </row>
    <row r="349" spans="1:24">
      <c r="A349" s="25" t="s">
        <v>1109</v>
      </c>
      <c r="B349" s="25" t="s">
        <v>858</v>
      </c>
      <c r="C349" s="25" t="s">
        <v>859</v>
      </c>
      <c r="D349" s="25" t="s">
        <v>860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1071</f>
        <v>1071</v>
      </c>
      <c r="L349" s="32" t="s">
        <v>1110</v>
      </c>
      <c r="M349" s="31">
        <f>1147</f>
        <v>1147</v>
      </c>
      <c r="N349" s="32" t="s">
        <v>1123</v>
      </c>
      <c r="O349" s="31">
        <f>1064</f>
        <v>1064</v>
      </c>
      <c r="P349" s="32" t="s">
        <v>1110</v>
      </c>
      <c r="Q349" s="31">
        <f>1133</f>
        <v>1133</v>
      </c>
      <c r="R349" s="32" t="s">
        <v>883</v>
      </c>
      <c r="S349" s="33">
        <f>1115.16</f>
        <v>1115.1600000000001</v>
      </c>
      <c r="T349" s="30">
        <f>25254</f>
        <v>25254</v>
      </c>
      <c r="U349" s="30" t="str">
        <f>"－"</f>
        <v>－</v>
      </c>
      <c r="V349" s="30">
        <f>27926187</f>
        <v>27926187</v>
      </c>
      <c r="W349" s="30" t="str">
        <f>"－"</f>
        <v>－</v>
      </c>
      <c r="X349" s="34">
        <f>19</f>
        <v>19</v>
      </c>
    </row>
    <row r="350" spans="1:24">
      <c r="A350" s="25" t="s">
        <v>1109</v>
      </c>
      <c r="B350" s="25" t="s">
        <v>861</v>
      </c>
      <c r="C350" s="25" t="s">
        <v>862</v>
      </c>
      <c r="D350" s="25" t="s">
        <v>863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</v>
      </c>
      <c r="K350" s="31">
        <f>1012</f>
        <v>1012</v>
      </c>
      <c r="L350" s="32" t="s">
        <v>1110</v>
      </c>
      <c r="M350" s="31">
        <f>1050</f>
        <v>1050</v>
      </c>
      <c r="N350" s="32" t="s">
        <v>680</v>
      </c>
      <c r="O350" s="31">
        <f>1008</f>
        <v>1008</v>
      </c>
      <c r="P350" s="32" t="s">
        <v>1110</v>
      </c>
      <c r="Q350" s="31">
        <f>1040</f>
        <v>1040</v>
      </c>
      <c r="R350" s="32" t="s">
        <v>883</v>
      </c>
      <c r="S350" s="33">
        <f>1029.79</f>
        <v>1029.79</v>
      </c>
      <c r="T350" s="30">
        <f>233446</f>
        <v>233446</v>
      </c>
      <c r="U350" s="30">
        <f>104</f>
        <v>104</v>
      </c>
      <c r="V350" s="30">
        <f>240311856</f>
        <v>240311856</v>
      </c>
      <c r="W350" s="30">
        <f>109198</f>
        <v>109198</v>
      </c>
      <c r="X350" s="34">
        <f>19</f>
        <v>19</v>
      </c>
    </row>
    <row r="351" spans="1:24">
      <c r="A351" s="25" t="s">
        <v>1109</v>
      </c>
      <c r="B351" s="25" t="s">
        <v>864</v>
      </c>
      <c r="C351" s="25" t="s">
        <v>865</v>
      </c>
      <c r="D351" s="25" t="s">
        <v>950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</v>
      </c>
      <c r="K351" s="31">
        <f>35670</f>
        <v>35670</v>
      </c>
      <c r="L351" s="32" t="s">
        <v>1110</v>
      </c>
      <c r="M351" s="31">
        <f>38630</f>
        <v>38630</v>
      </c>
      <c r="N351" s="32" t="s">
        <v>1114</v>
      </c>
      <c r="O351" s="31">
        <f>35630</f>
        <v>35630</v>
      </c>
      <c r="P351" s="32" t="s">
        <v>1110</v>
      </c>
      <c r="Q351" s="31">
        <f>38220</f>
        <v>38220</v>
      </c>
      <c r="R351" s="32" t="s">
        <v>883</v>
      </c>
      <c r="S351" s="33">
        <f>37694.21</f>
        <v>37694.21</v>
      </c>
      <c r="T351" s="30">
        <f>266704</f>
        <v>266704</v>
      </c>
      <c r="U351" s="30">
        <f>89</f>
        <v>89</v>
      </c>
      <c r="V351" s="30">
        <f>10035378540</f>
        <v>10035378540</v>
      </c>
      <c r="W351" s="30">
        <f>3335600</f>
        <v>3335600</v>
      </c>
      <c r="X351" s="34">
        <f>19</f>
        <v>19</v>
      </c>
    </row>
    <row r="352" spans="1:24">
      <c r="A352" s="25" t="s">
        <v>1109</v>
      </c>
      <c r="B352" s="25" t="s">
        <v>866</v>
      </c>
      <c r="C352" s="25" t="s">
        <v>867</v>
      </c>
      <c r="D352" s="25" t="s">
        <v>951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26820</f>
        <v>26820</v>
      </c>
      <c r="L352" s="32" t="s">
        <v>1110</v>
      </c>
      <c r="M352" s="31">
        <f>26820</f>
        <v>26820</v>
      </c>
      <c r="N352" s="32" t="s">
        <v>1110</v>
      </c>
      <c r="O352" s="31">
        <f>24480</f>
        <v>24480</v>
      </c>
      <c r="P352" s="32" t="s">
        <v>1114</v>
      </c>
      <c r="Q352" s="31">
        <f>24735</f>
        <v>24735</v>
      </c>
      <c r="R352" s="32" t="s">
        <v>883</v>
      </c>
      <c r="S352" s="33">
        <f>25261.05</f>
        <v>25261.05</v>
      </c>
      <c r="T352" s="30">
        <f>171683</f>
        <v>171683</v>
      </c>
      <c r="U352" s="30">
        <f>11</f>
        <v>11</v>
      </c>
      <c r="V352" s="30">
        <f>4344342865</f>
        <v>4344342865</v>
      </c>
      <c r="W352" s="30">
        <f>259490</f>
        <v>259490</v>
      </c>
      <c r="X352" s="34">
        <f>19</f>
        <v>19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4458-2B64-431D-B7D1-3C6AE0CEAE82}">
  <sheetPr>
    <pageSetUpPr fitToPage="1"/>
  </sheetPr>
  <dimension ref="A1:X352"/>
  <sheetViews>
    <sheetView showGridLines="0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8.75"/>
  <cols>
    <col min="1" max="1" width="13.125" style="3" bestFit="1" customWidth="1"/>
    <col min="2" max="2" width="10.75" style="3" bestFit="1" customWidth="1"/>
    <col min="3" max="4" width="27.625" style="3" customWidth="1"/>
    <col min="5" max="5" width="13.75" style="3" bestFit="1" customWidth="1"/>
    <col min="6" max="6" width="20.75" style="3" bestFit="1" customWidth="1"/>
    <col min="7" max="7" width="11.25" style="3" customWidth="1"/>
    <col min="8" max="8" width="8.75" style="3" bestFit="1" customWidth="1"/>
    <col min="9" max="9" width="11.75" style="3" bestFit="1" customWidth="1"/>
    <col min="10" max="10" width="12.625" style="3" bestFit="1" customWidth="1"/>
    <col min="11" max="11" width="16.25" style="3" customWidth="1"/>
    <col min="12" max="12" width="5.625" style="3" bestFit="1" customWidth="1"/>
    <col min="13" max="13" width="16.25" style="3" customWidth="1"/>
    <col min="14" max="14" width="5.625" style="3" bestFit="1" customWidth="1"/>
    <col min="15" max="15" width="16.25" style="3" customWidth="1"/>
    <col min="16" max="16" width="5.625" style="3" bestFit="1" customWidth="1"/>
    <col min="17" max="17" width="16.25" style="3" customWidth="1"/>
    <col min="18" max="18" width="5.625" style="3" bestFit="1" customWidth="1"/>
    <col min="19" max="19" width="23.875" style="3" bestFit="1" customWidth="1"/>
    <col min="20" max="20" width="16.25" style="3" customWidth="1"/>
    <col min="21" max="21" width="24.125" style="3" customWidth="1"/>
    <col min="22" max="22" width="19.875" style="3" bestFit="1" customWidth="1"/>
    <col min="23" max="23" width="25" style="3" bestFit="1" customWidth="1"/>
    <col min="24" max="24" width="13.125" style="3" bestFit="1" customWidth="1"/>
    <col min="25" max="16384" width="9" style="3"/>
  </cols>
  <sheetData>
    <row r="1" spans="1:24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99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39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s="10" customFormat="1" ht="13.5" customHeight="1">
      <c r="A4" s="4" t="s">
        <v>3</v>
      </c>
      <c r="B4" s="4" t="s">
        <v>4</v>
      </c>
      <c r="C4" s="4"/>
      <c r="D4" s="4"/>
      <c r="E4" s="5"/>
      <c r="F4" s="6"/>
      <c r="G4" s="7" t="s">
        <v>5</v>
      </c>
      <c r="H4" s="4" t="s">
        <v>6</v>
      </c>
      <c r="I4" s="4" t="s">
        <v>7</v>
      </c>
      <c r="J4" s="4" t="s">
        <v>8</v>
      </c>
      <c r="K4" s="8" t="s">
        <v>9</v>
      </c>
      <c r="L4" s="7" t="s">
        <v>5</v>
      </c>
      <c r="M4" s="8" t="s">
        <v>10</v>
      </c>
      <c r="N4" s="7" t="s">
        <v>5</v>
      </c>
      <c r="O4" s="8" t="s">
        <v>11</v>
      </c>
      <c r="P4" s="7" t="s">
        <v>5</v>
      </c>
      <c r="Q4" s="8" t="s">
        <v>12</v>
      </c>
      <c r="R4" s="7" t="s">
        <v>5</v>
      </c>
      <c r="S4" s="4" t="s">
        <v>13</v>
      </c>
      <c r="T4" s="4" t="s">
        <v>14</v>
      </c>
      <c r="U4" s="9" t="s">
        <v>15</v>
      </c>
      <c r="V4" s="4" t="s">
        <v>16</v>
      </c>
      <c r="W4" s="4" t="s">
        <v>17</v>
      </c>
      <c r="X4" s="4" t="s">
        <v>18</v>
      </c>
    </row>
    <row r="5" spans="1:24">
      <c r="A5" s="11" t="s">
        <v>19</v>
      </c>
      <c r="B5" s="11" t="s">
        <v>20</v>
      </c>
      <c r="C5" s="11" t="s">
        <v>21</v>
      </c>
      <c r="D5" s="11" t="s">
        <v>22</v>
      </c>
      <c r="E5" s="12" t="s">
        <v>23</v>
      </c>
      <c r="F5" s="13" t="s">
        <v>24</v>
      </c>
      <c r="G5" s="14" t="s">
        <v>25</v>
      </c>
      <c r="H5" s="15" t="s">
        <v>26</v>
      </c>
      <c r="I5" s="15" t="s">
        <v>27</v>
      </c>
      <c r="J5" s="15" t="s">
        <v>28</v>
      </c>
      <c r="K5" s="16" t="s">
        <v>29</v>
      </c>
      <c r="L5" s="14" t="s">
        <v>25</v>
      </c>
      <c r="M5" s="16" t="s">
        <v>30</v>
      </c>
      <c r="N5" s="14" t="s">
        <v>25</v>
      </c>
      <c r="O5" s="16" t="s">
        <v>31</v>
      </c>
      <c r="P5" s="14" t="s">
        <v>25</v>
      </c>
      <c r="Q5" s="16" t="s">
        <v>32</v>
      </c>
      <c r="R5" s="14" t="s">
        <v>25</v>
      </c>
      <c r="S5" s="17" t="s">
        <v>33</v>
      </c>
      <c r="T5" s="17" t="s">
        <v>34</v>
      </c>
      <c r="U5" s="11" t="s">
        <v>35</v>
      </c>
      <c r="V5" s="17" t="s">
        <v>36</v>
      </c>
      <c r="W5" s="17" t="s">
        <v>37</v>
      </c>
      <c r="X5" s="17" t="s">
        <v>38</v>
      </c>
    </row>
    <row r="6" spans="1:24">
      <c r="A6" s="18"/>
      <c r="B6" s="18"/>
      <c r="C6" s="18"/>
      <c r="D6" s="18"/>
      <c r="E6" s="19"/>
      <c r="F6" s="20"/>
      <c r="G6" s="21"/>
      <c r="H6" s="22"/>
      <c r="I6" s="22"/>
      <c r="J6" s="22" t="s">
        <v>39</v>
      </c>
      <c r="K6" s="23" t="s">
        <v>40</v>
      </c>
      <c r="L6" s="24"/>
      <c r="M6" s="23" t="s">
        <v>40</v>
      </c>
      <c r="N6" s="24"/>
      <c r="O6" s="23" t="s">
        <v>40</v>
      </c>
      <c r="P6" s="24"/>
      <c r="Q6" s="23" t="s">
        <v>40</v>
      </c>
      <c r="R6" s="24"/>
      <c r="S6" s="23" t="s">
        <v>40</v>
      </c>
      <c r="T6" s="22" t="s">
        <v>41</v>
      </c>
      <c r="U6" s="22" t="s">
        <v>41</v>
      </c>
      <c r="V6" s="23" t="s">
        <v>40</v>
      </c>
      <c r="W6" s="23" t="s">
        <v>40</v>
      </c>
      <c r="X6" s="22"/>
    </row>
    <row r="7" spans="1:24" s="35" customFormat="1" ht="13.5" customHeight="1">
      <c r="A7" s="25" t="s">
        <v>1078</v>
      </c>
      <c r="B7" s="25" t="s">
        <v>42</v>
      </c>
      <c r="C7" s="25" t="s">
        <v>896</v>
      </c>
      <c r="D7" s="25" t="s">
        <v>897</v>
      </c>
      <c r="E7" s="26" t="s">
        <v>43</v>
      </c>
      <c r="F7" s="27" t="s">
        <v>43</v>
      </c>
      <c r="G7" s="28" t="s">
        <v>43</v>
      </c>
      <c r="H7" s="29"/>
      <c r="I7" s="29" t="s">
        <v>44</v>
      </c>
      <c r="J7" s="30">
        <v>10</v>
      </c>
      <c r="K7" s="31">
        <f>2490.5</f>
        <v>2490.5</v>
      </c>
      <c r="L7" s="32" t="s">
        <v>675</v>
      </c>
      <c r="M7" s="31">
        <f>2713</f>
        <v>2713</v>
      </c>
      <c r="N7" s="32" t="s">
        <v>778</v>
      </c>
      <c r="O7" s="31">
        <f>2469</f>
        <v>2469</v>
      </c>
      <c r="P7" s="32" t="s">
        <v>675</v>
      </c>
      <c r="Q7" s="31">
        <f>2699</f>
        <v>2699</v>
      </c>
      <c r="R7" s="32" t="s">
        <v>681</v>
      </c>
      <c r="S7" s="33">
        <f>2637.26</f>
        <v>2637.26</v>
      </c>
      <c r="T7" s="30">
        <f>11510310</f>
        <v>11510310</v>
      </c>
      <c r="U7" s="30">
        <f>8882030</f>
        <v>8882030</v>
      </c>
      <c r="V7" s="30">
        <f>30178022400</f>
        <v>30178022400</v>
      </c>
      <c r="W7" s="30">
        <f>23319799250</f>
        <v>23319799250</v>
      </c>
      <c r="X7" s="34">
        <f>19</f>
        <v>19</v>
      </c>
    </row>
    <row r="8" spans="1:24">
      <c r="A8" s="25" t="s">
        <v>1078</v>
      </c>
      <c r="B8" s="25" t="s">
        <v>45</v>
      </c>
      <c r="C8" s="25" t="s">
        <v>46</v>
      </c>
      <c r="D8" s="25" t="s">
        <v>47</v>
      </c>
      <c r="E8" s="26" t="s">
        <v>43</v>
      </c>
      <c r="F8" s="27" t="s">
        <v>43</v>
      </c>
      <c r="G8" s="28" t="s">
        <v>43</v>
      </c>
      <c r="H8" s="29"/>
      <c r="I8" s="29" t="s">
        <v>44</v>
      </c>
      <c r="J8" s="30">
        <v>10</v>
      </c>
      <c r="K8" s="31">
        <f>2463.5</f>
        <v>2463.5</v>
      </c>
      <c r="L8" s="32" t="s">
        <v>675</v>
      </c>
      <c r="M8" s="31">
        <f>2684.5</f>
        <v>2684.5</v>
      </c>
      <c r="N8" s="32" t="s">
        <v>778</v>
      </c>
      <c r="O8" s="31">
        <f>2441.5</f>
        <v>2441.5</v>
      </c>
      <c r="P8" s="32" t="s">
        <v>675</v>
      </c>
      <c r="Q8" s="31">
        <f>2670</f>
        <v>2670</v>
      </c>
      <c r="R8" s="32" t="s">
        <v>681</v>
      </c>
      <c r="S8" s="33">
        <f>2608.29</f>
        <v>2608.29</v>
      </c>
      <c r="T8" s="30">
        <f>58073600</f>
        <v>58073600</v>
      </c>
      <c r="U8" s="30">
        <f>9359250</f>
        <v>9359250</v>
      </c>
      <c r="V8" s="30">
        <f>151899163928</f>
        <v>151899163928</v>
      </c>
      <c r="W8" s="30">
        <f>24694546963</f>
        <v>24694546963</v>
      </c>
      <c r="X8" s="34">
        <f>19</f>
        <v>19</v>
      </c>
    </row>
    <row r="9" spans="1:24">
      <c r="A9" s="25" t="s">
        <v>1078</v>
      </c>
      <c r="B9" s="25" t="s">
        <v>48</v>
      </c>
      <c r="C9" s="25" t="s">
        <v>49</v>
      </c>
      <c r="D9" s="25" t="s">
        <v>50</v>
      </c>
      <c r="E9" s="26" t="s">
        <v>43</v>
      </c>
      <c r="F9" s="27" t="s">
        <v>43</v>
      </c>
      <c r="G9" s="28" t="s">
        <v>43</v>
      </c>
      <c r="H9" s="29"/>
      <c r="I9" s="29" t="s">
        <v>44</v>
      </c>
      <c r="J9" s="30">
        <v>1</v>
      </c>
      <c r="K9" s="31">
        <f>2434</f>
        <v>2434</v>
      </c>
      <c r="L9" s="32" t="s">
        <v>675</v>
      </c>
      <c r="M9" s="31">
        <f>2654</f>
        <v>2654</v>
      </c>
      <c r="N9" s="32" t="s">
        <v>778</v>
      </c>
      <c r="O9" s="31">
        <f>2414</f>
        <v>2414</v>
      </c>
      <c r="P9" s="32" t="s">
        <v>675</v>
      </c>
      <c r="Q9" s="31">
        <f>2637</f>
        <v>2637</v>
      </c>
      <c r="R9" s="32" t="s">
        <v>681</v>
      </c>
      <c r="S9" s="33">
        <f>2578.58</f>
        <v>2578.58</v>
      </c>
      <c r="T9" s="30">
        <f>10503612</f>
        <v>10503612</v>
      </c>
      <c r="U9" s="30">
        <f>4234600</f>
        <v>4234600</v>
      </c>
      <c r="V9" s="30">
        <f>26896394743</f>
        <v>26896394743</v>
      </c>
      <c r="W9" s="30">
        <f>10729558940</f>
        <v>10729558940</v>
      </c>
      <c r="X9" s="34">
        <f>19</f>
        <v>19</v>
      </c>
    </row>
    <row r="10" spans="1:24">
      <c r="A10" s="25" t="s">
        <v>1078</v>
      </c>
      <c r="B10" s="25" t="s">
        <v>51</v>
      </c>
      <c r="C10" s="25" t="s">
        <v>52</v>
      </c>
      <c r="D10" s="25" t="s">
        <v>53</v>
      </c>
      <c r="E10" s="26" t="s">
        <v>43</v>
      </c>
      <c r="F10" s="27" t="s">
        <v>43</v>
      </c>
      <c r="G10" s="28" t="s">
        <v>43</v>
      </c>
      <c r="H10" s="29"/>
      <c r="I10" s="29" t="s">
        <v>44</v>
      </c>
      <c r="J10" s="30">
        <v>1</v>
      </c>
      <c r="K10" s="31">
        <f>36190</f>
        <v>36190</v>
      </c>
      <c r="L10" s="32" t="s">
        <v>675</v>
      </c>
      <c r="M10" s="31">
        <f>38000</f>
        <v>38000</v>
      </c>
      <c r="N10" s="32" t="s">
        <v>676</v>
      </c>
      <c r="O10" s="31">
        <f>35100</f>
        <v>35100</v>
      </c>
      <c r="P10" s="32" t="s">
        <v>678</v>
      </c>
      <c r="Q10" s="31">
        <f>36640</f>
        <v>36640</v>
      </c>
      <c r="R10" s="32" t="s">
        <v>681</v>
      </c>
      <c r="S10" s="33">
        <f>36163.68</f>
        <v>36163.68</v>
      </c>
      <c r="T10" s="30">
        <f>5106</f>
        <v>5106</v>
      </c>
      <c r="U10" s="30" t="str">
        <f>"－"</f>
        <v>－</v>
      </c>
      <c r="V10" s="30">
        <f>186168740</f>
        <v>186168740</v>
      </c>
      <c r="W10" s="30" t="str">
        <f>"－"</f>
        <v>－</v>
      </c>
      <c r="X10" s="34">
        <f>19</f>
        <v>19</v>
      </c>
    </row>
    <row r="11" spans="1:24">
      <c r="A11" s="25" t="s">
        <v>1078</v>
      </c>
      <c r="B11" s="25" t="s">
        <v>54</v>
      </c>
      <c r="C11" s="25" t="s">
        <v>55</v>
      </c>
      <c r="D11" s="25" t="s">
        <v>56</v>
      </c>
      <c r="E11" s="26" t="s">
        <v>43</v>
      </c>
      <c r="F11" s="27" t="s">
        <v>43</v>
      </c>
      <c r="G11" s="28" t="s">
        <v>43</v>
      </c>
      <c r="H11" s="29"/>
      <c r="I11" s="29" t="s">
        <v>44</v>
      </c>
      <c r="J11" s="30">
        <v>10</v>
      </c>
      <c r="K11" s="31">
        <f>1191</f>
        <v>1191</v>
      </c>
      <c r="L11" s="32" t="s">
        <v>675</v>
      </c>
      <c r="M11" s="31">
        <f>1341</f>
        <v>1341</v>
      </c>
      <c r="N11" s="32" t="s">
        <v>778</v>
      </c>
      <c r="O11" s="31">
        <f>1177</f>
        <v>1177</v>
      </c>
      <c r="P11" s="32" t="s">
        <v>675</v>
      </c>
      <c r="Q11" s="31">
        <f>1315</f>
        <v>1315</v>
      </c>
      <c r="R11" s="32" t="s">
        <v>681</v>
      </c>
      <c r="S11" s="33">
        <f>1282.58</f>
        <v>1282.58</v>
      </c>
      <c r="T11" s="30">
        <f>554640</f>
        <v>554640</v>
      </c>
      <c r="U11" s="30">
        <f>110810</f>
        <v>110810</v>
      </c>
      <c r="V11" s="30">
        <f>714347400</f>
        <v>714347400</v>
      </c>
      <c r="W11" s="30">
        <f>140861790</f>
        <v>140861790</v>
      </c>
      <c r="X11" s="34">
        <f>19</f>
        <v>19</v>
      </c>
    </row>
    <row r="12" spans="1:24">
      <c r="A12" s="25" t="s">
        <v>1078</v>
      </c>
      <c r="B12" s="25" t="s">
        <v>57</v>
      </c>
      <c r="C12" s="25" t="s">
        <v>58</v>
      </c>
      <c r="D12" s="25" t="s">
        <v>59</v>
      </c>
      <c r="E12" s="26" t="s">
        <v>43</v>
      </c>
      <c r="F12" s="27" t="s">
        <v>43</v>
      </c>
      <c r="G12" s="28" t="s">
        <v>43</v>
      </c>
      <c r="H12" s="29"/>
      <c r="I12" s="29" t="s">
        <v>44</v>
      </c>
      <c r="J12" s="30">
        <v>1000</v>
      </c>
      <c r="K12" s="31">
        <f>406.3</f>
        <v>406.3</v>
      </c>
      <c r="L12" s="32" t="s">
        <v>675</v>
      </c>
      <c r="M12" s="31">
        <f>455</f>
        <v>455</v>
      </c>
      <c r="N12" s="32" t="s">
        <v>681</v>
      </c>
      <c r="O12" s="31">
        <f>406.3</f>
        <v>406.3</v>
      </c>
      <c r="P12" s="32" t="s">
        <v>675</v>
      </c>
      <c r="Q12" s="31">
        <f>455</f>
        <v>455</v>
      </c>
      <c r="R12" s="32" t="s">
        <v>681</v>
      </c>
      <c r="S12" s="33">
        <f>437.33</f>
        <v>437.33</v>
      </c>
      <c r="T12" s="30">
        <f>124000</f>
        <v>124000</v>
      </c>
      <c r="U12" s="30" t="str">
        <f>"－"</f>
        <v>－</v>
      </c>
      <c r="V12" s="30">
        <f>54351800</f>
        <v>54351800</v>
      </c>
      <c r="W12" s="30" t="str">
        <f>"－"</f>
        <v>－</v>
      </c>
      <c r="X12" s="34">
        <f>19</f>
        <v>19</v>
      </c>
    </row>
    <row r="13" spans="1:24">
      <c r="A13" s="25" t="s">
        <v>1078</v>
      </c>
      <c r="B13" s="25" t="s">
        <v>60</v>
      </c>
      <c r="C13" s="25" t="s">
        <v>898</v>
      </c>
      <c r="D13" s="25" t="s">
        <v>899</v>
      </c>
      <c r="E13" s="26" t="s">
        <v>43</v>
      </c>
      <c r="F13" s="27" t="s">
        <v>43</v>
      </c>
      <c r="G13" s="28" t="s">
        <v>43</v>
      </c>
      <c r="H13" s="29"/>
      <c r="I13" s="29" t="s">
        <v>44</v>
      </c>
      <c r="J13" s="30">
        <v>1</v>
      </c>
      <c r="K13" s="31">
        <f>34110</f>
        <v>34110</v>
      </c>
      <c r="L13" s="32" t="s">
        <v>675</v>
      </c>
      <c r="M13" s="31">
        <f>38220</f>
        <v>38220</v>
      </c>
      <c r="N13" s="32" t="s">
        <v>778</v>
      </c>
      <c r="O13" s="31">
        <f>33780</f>
        <v>33780</v>
      </c>
      <c r="P13" s="32" t="s">
        <v>675</v>
      </c>
      <c r="Q13" s="31">
        <f>37480</f>
        <v>37480</v>
      </c>
      <c r="R13" s="32" t="s">
        <v>681</v>
      </c>
      <c r="S13" s="33">
        <f>36635.26</f>
        <v>36635.26</v>
      </c>
      <c r="T13" s="30">
        <f>3755422</f>
        <v>3755422</v>
      </c>
      <c r="U13" s="30">
        <f>2614867</f>
        <v>2614867</v>
      </c>
      <c r="V13" s="30">
        <f>138097440771</f>
        <v>138097440771</v>
      </c>
      <c r="W13" s="30">
        <f>96563992681</f>
        <v>96563992681</v>
      </c>
      <c r="X13" s="34">
        <f>19</f>
        <v>19</v>
      </c>
    </row>
    <row r="14" spans="1:24">
      <c r="A14" s="25" t="s">
        <v>1078</v>
      </c>
      <c r="B14" s="25" t="s">
        <v>61</v>
      </c>
      <c r="C14" s="25" t="s">
        <v>62</v>
      </c>
      <c r="D14" s="25" t="s">
        <v>63</v>
      </c>
      <c r="E14" s="26" t="s">
        <v>43</v>
      </c>
      <c r="F14" s="27" t="s">
        <v>43</v>
      </c>
      <c r="G14" s="28" t="s">
        <v>43</v>
      </c>
      <c r="H14" s="29"/>
      <c r="I14" s="29" t="s">
        <v>44</v>
      </c>
      <c r="J14" s="30">
        <v>1</v>
      </c>
      <c r="K14" s="31">
        <f>34240</f>
        <v>34240</v>
      </c>
      <c r="L14" s="32" t="s">
        <v>675</v>
      </c>
      <c r="M14" s="31">
        <f>38370</f>
        <v>38370</v>
      </c>
      <c r="N14" s="32" t="s">
        <v>778</v>
      </c>
      <c r="O14" s="31">
        <f>33910</f>
        <v>33910</v>
      </c>
      <c r="P14" s="32" t="s">
        <v>675</v>
      </c>
      <c r="Q14" s="31">
        <f>37640</f>
        <v>37640</v>
      </c>
      <c r="R14" s="32" t="s">
        <v>681</v>
      </c>
      <c r="S14" s="33">
        <f>36783.16</f>
        <v>36783.160000000003</v>
      </c>
      <c r="T14" s="30">
        <f>9256663</f>
        <v>9256663</v>
      </c>
      <c r="U14" s="30">
        <f>931352</f>
        <v>931352</v>
      </c>
      <c r="V14" s="30">
        <f>341024426431</f>
        <v>341024426431</v>
      </c>
      <c r="W14" s="30">
        <f>34698884681</f>
        <v>34698884681</v>
      </c>
      <c r="X14" s="34">
        <f>19</f>
        <v>19</v>
      </c>
    </row>
    <row r="15" spans="1:24">
      <c r="A15" s="25" t="s">
        <v>1078</v>
      </c>
      <c r="B15" s="25" t="s">
        <v>64</v>
      </c>
      <c r="C15" s="25" t="s">
        <v>65</v>
      </c>
      <c r="D15" s="25" t="s">
        <v>66</v>
      </c>
      <c r="E15" s="26" t="s">
        <v>43</v>
      </c>
      <c r="F15" s="27" t="s">
        <v>43</v>
      </c>
      <c r="G15" s="28" t="s">
        <v>43</v>
      </c>
      <c r="H15" s="29"/>
      <c r="I15" s="29" t="s">
        <v>44</v>
      </c>
      <c r="J15" s="30">
        <v>10</v>
      </c>
      <c r="K15" s="31">
        <f>6897</f>
        <v>6897</v>
      </c>
      <c r="L15" s="32" t="s">
        <v>675</v>
      </c>
      <c r="M15" s="31">
        <f>7800</f>
        <v>7800</v>
      </c>
      <c r="N15" s="32" t="s">
        <v>676</v>
      </c>
      <c r="O15" s="31">
        <f>6667</f>
        <v>6667</v>
      </c>
      <c r="P15" s="32" t="s">
        <v>760</v>
      </c>
      <c r="Q15" s="31">
        <f>6776</f>
        <v>6776</v>
      </c>
      <c r="R15" s="32" t="s">
        <v>681</v>
      </c>
      <c r="S15" s="33">
        <f>6866.42</f>
        <v>6866.42</v>
      </c>
      <c r="T15" s="30">
        <f>30160</f>
        <v>30160</v>
      </c>
      <c r="U15" s="30" t="str">
        <f>"－"</f>
        <v>－</v>
      </c>
      <c r="V15" s="30">
        <f>210131480</f>
        <v>210131480</v>
      </c>
      <c r="W15" s="30" t="str">
        <f>"－"</f>
        <v>－</v>
      </c>
      <c r="X15" s="34">
        <f>19</f>
        <v>19</v>
      </c>
    </row>
    <row r="16" spans="1:24">
      <c r="A16" s="25" t="s">
        <v>1078</v>
      </c>
      <c r="B16" s="25" t="s">
        <v>67</v>
      </c>
      <c r="C16" s="25" t="s">
        <v>810</v>
      </c>
      <c r="D16" s="25" t="s">
        <v>811</v>
      </c>
      <c r="E16" s="26" t="s">
        <v>43</v>
      </c>
      <c r="F16" s="27" t="s">
        <v>43</v>
      </c>
      <c r="G16" s="28" t="s">
        <v>43</v>
      </c>
      <c r="H16" s="29"/>
      <c r="I16" s="29" t="s">
        <v>44</v>
      </c>
      <c r="J16" s="30">
        <v>100</v>
      </c>
      <c r="K16" s="31" t="str">
        <f>"－"</f>
        <v>－</v>
      </c>
      <c r="L16" s="32"/>
      <c r="M16" s="31" t="str">
        <f>"－"</f>
        <v>－</v>
      </c>
      <c r="N16" s="32"/>
      <c r="O16" s="31" t="str">
        <f>"－"</f>
        <v>－</v>
      </c>
      <c r="P16" s="32"/>
      <c r="Q16" s="31" t="str">
        <f>"－"</f>
        <v>－</v>
      </c>
      <c r="R16" s="32"/>
      <c r="S16" s="33" t="str">
        <f>"－"</f>
        <v>－</v>
      </c>
      <c r="T16" s="30" t="str">
        <f>"－"</f>
        <v>－</v>
      </c>
      <c r="U16" s="30" t="str">
        <f>"－"</f>
        <v>－</v>
      </c>
      <c r="V16" s="30" t="str">
        <f>"－"</f>
        <v>－</v>
      </c>
      <c r="W16" s="30" t="str">
        <f>"－"</f>
        <v>－</v>
      </c>
      <c r="X16" s="34" t="str">
        <f>"－"</f>
        <v>－</v>
      </c>
    </row>
    <row r="17" spans="1:24">
      <c r="A17" s="25" t="s">
        <v>1078</v>
      </c>
      <c r="B17" s="25" t="s">
        <v>68</v>
      </c>
      <c r="C17" s="25" t="s">
        <v>69</v>
      </c>
      <c r="D17" s="25" t="s">
        <v>70</v>
      </c>
      <c r="E17" s="26" t="s">
        <v>43</v>
      </c>
      <c r="F17" s="27" t="s">
        <v>43</v>
      </c>
      <c r="G17" s="28" t="s">
        <v>43</v>
      </c>
      <c r="H17" s="29"/>
      <c r="I17" s="29" t="s">
        <v>44</v>
      </c>
      <c r="J17" s="30">
        <v>100</v>
      </c>
      <c r="K17" s="31">
        <f>249.7</f>
        <v>249.7</v>
      </c>
      <c r="L17" s="32" t="s">
        <v>675</v>
      </c>
      <c r="M17" s="31">
        <f>252</f>
        <v>252</v>
      </c>
      <c r="N17" s="32" t="s">
        <v>760</v>
      </c>
      <c r="O17" s="31">
        <f>241</f>
        <v>241</v>
      </c>
      <c r="P17" s="32" t="s">
        <v>676</v>
      </c>
      <c r="Q17" s="31">
        <f>247.9</f>
        <v>247.9</v>
      </c>
      <c r="R17" s="32" t="s">
        <v>681</v>
      </c>
      <c r="S17" s="33">
        <f>247.5</f>
        <v>247.5</v>
      </c>
      <c r="T17" s="30">
        <f>708400</f>
        <v>708400</v>
      </c>
      <c r="U17" s="30">
        <f>3700</f>
        <v>3700</v>
      </c>
      <c r="V17" s="30">
        <f>175381440</f>
        <v>175381440</v>
      </c>
      <c r="W17" s="30">
        <f>915110</f>
        <v>915110</v>
      </c>
      <c r="X17" s="34">
        <f>19</f>
        <v>19</v>
      </c>
    </row>
    <row r="18" spans="1:24">
      <c r="A18" s="25" t="s">
        <v>1078</v>
      </c>
      <c r="B18" s="25" t="s">
        <v>71</v>
      </c>
      <c r="C18" s="25" t="s">
        <v>72</v>
      </c>
      <c r="D18" s="25" t="s">
        <v>73</v>
      </c>
      <c r="E18" s="26" t="s">
        <v>43</v>
      </c>
      <c r="F18" s="27" t="s">
        <v>43</v>
      </c>
      <c r="G18" s="28" t="s">
        <v>43</v>
      </c>
      <c r="H18" s="29"/>
      <c r="I18" s="29" t="s">
        <v>44</v>
      </c>
      <c r="J18" s="30">
        <v>1</v>
      </c>
      <c r="K18" s="31">
        <f>27105</f>
        <v>27105</v>
      </c>
      <c r="L18" s="32" t="s">
        <v>675</v>
      </c>
      <c r="M18" s="31">
        <f>27895</f>
        <v>27895</v>
      </c>
      <c r="N18" s="32" t="s">
        <v>683</v>
      </c>
      <c r="O18" s="31">
        <f>27035</f>
        <v>27035</v>
      </c>
      <c r="P18" s="32" t="s">
        <v>876</v>
      </c>
      <c r="Q18" s="31">
        <f>27850</f>
        <v>27850</v>
      </c>
      <c r="R18" s="32" t="s">
        <v>681</v>
      </c>
      <c r="S18" s="33">
        <f>27587.37</f>
        <v>27587.37</v>
      </c>
      <c r="T18" s="30">
        <f>89561</f>
        <v>89561</v>
      </c>
      <c r="U18" s="30" t="str">
        <f>"－"</f>
        <v>－</v>
      </c>
      <c r="V18" s="30">
        <f>2466847210</f>
        <v>2466847210</v>
      </c>
      <c r="W18" s="30" t="str">
        <f>"－"</f>
        <v>－</v>
      </c>
      <c r="X18" s="34">
        <f>19</f>
        <v>19</v>
      </c>
    </row>
    <row r="19" spans="1:24">
      <c r="A19" s="25" t="s">
        <v>1078</v>
      </c>
      <c r="B19" s="25" t="s">
        <v>74</v>
      </c>
      <c r="C19" s="25" t="s">
        <v>75</v>
      </c>
      <c r="D19" s="25" t="s">
        <v>76</v>
      </c>
      <c r="E19" s="26" t="s">
        <v>43</v>
      </c>
      <c r="F19" s="27" t="s">
        <v>43</v>
      </c>
      <c r="G19" s="28" t="s">
        <v>43</v>
      </c>
      <c r="H19" s="29"/>
      <c r="I19" s="29" t="s">
        <v>44</v>
      </c>
      <c r="J19" s="30">
        <v>10</v>
      </c>
      <c r="K19" s="31">
        <f>7189</f>
        <v>7189</v>
      </c>
      <c r="L19" s="32" t="s">
        <v>675</v>
      </c>
      <c r="M19" s="31">
        <f>7401</f>
        <v>7401</v>
      </c>
      <c r="N19" s="32" t="s">
        <v>683</v>
      </c>
      <c r="O19" s="31">
        <f>7176</f>
        <v>7176</v>
      </c>
      <c r="P19" s="32" t="s">
        <v>675</v>
      </c>
      <c r="Q19" s="31">
        <f>7381</f>
        <v>7381</v>
      </c>
      <c r="R19" s="32" t="s">
        <v>681</v>
      </c>
      <c r="S19" s="33">
        <f>7323.84</f>
        <v>7323.84</v>
      </c>
      <c r="T19" s="30">
        <f>215470</f>
        <v>215470</v>
      </c>
      <c r="U19" s="30">
        <f>10110</f>
        <v>10110</v>
      </c>
      <c r="V19" s="30">
        <f>1575971410</f>
        <v>1575971410</v>
      </c>
      <c r="W19" s="30">
        <f>74441580</f>
        <v>74441580</v>
      </c>
      <c r="X19" s="34">
        <f>19</f>
        <v>19</v>
      </c>
    </row>
    <row r="20" spans="1:24">
      <c r="A20" s="25" t="s">
        <v>1078</v>
      </c>
      <c r="B20" s="25" t="s">
        <v>77</v>
      </c>
      <c r="C20" s="25" t="s">
        <v>78</v>
      </c>
      <c r="D20" s="25" t="s">
        <v>79</v>
      </c>
      <c r="E20" s="26" t="s">
        <v>43</v>
      </c>
      <c r="F20" s="27" t="s">
        <v>43</v>
      </c>
      <c r="G20" s="28" t="s">
        <v>43</v>
      </c>
      <c r="H20" s="29"/>
      <c r="I20" s="29" t="s">
        <v>44</v>
      </c>
      <c r="J20" s="30">
        <v>1</v>
      </c>
      <c r="K20" s="31">
        <f>34410</f>
        <v>34410</v>
      </c>
      <c r="L20" s="32" t="s">
        <v>675</v>
      </c>
      <c r="M20" s="31">
        <f>38560</f>
        <v>38560</v>
      </c>
      <c r="N20" s="32" t="s">
        <v>778</v>
      </c>
      <c r="O20" s="31">
        <f>34060</f>
        <v>34060</v>
      </c>
      <c r="P20" s="32" t="s">
        <v>675</v>
      </c>
      <c r="Q20" s="31">
        <f>37890</f>
        <v>37890</v>
      </c>
      <c r="R20" s="32" t="s">
        <v>681</v>
      </c>
      <c r="S20" s="33">
        <f>36969.47</f>
        <v>36969.47</v>
      </c>
      <c r="T20" s="30">
        <f>1162770</f>
        <v>1162770</v>
      </c>
      <c r="U20" s="30">
        <f>129218</f>
        <v>129218</v>
      </c>
      <c r="V20" s="30">
        <f>42500639199</f>
        <v>42500639199</v>
      </c>
      <c r="W20" s="30">
        <f>4526947479</f>
        <v>4526947479</v>
      </c>
      <c r="X20" s="34">
        <f>19</f>
        <v>19</v>
      </c>
    </row>
    <row r="21" spans="1:24">
      <c r="A21" s="25" t="s">
        <v>1078</v>
      </c>
      <c r="B21" s="25" t="s">
        <v>80</v>
      </c>
      <c r="C21" s="25" t="s">
        <v>81</v>
      </c>
      <c r="D21" s="25" t="s">
        <v>82</v>
      </c>
      <c r="E21" s="26" t="s">
        <v>43</v>
      </c>
      <c r="F21" s="27" t="s">
        <v>43</v>
      </c>
      <c r="G21" s="28" t="s">
        <v>43</v>
      </c>
      <c r="H21" s="29"/>
      <c r="I21" s="29" t="s">
        <v>44</v>
      </c>
      <c r="J21" s="30">
        <v>1</v>
      </c>
      <c r="K21" s="31">
        <f>34300</f>
        <v>34300</v>
      </c>
      <c r="L21" s="32" t="s">
        <v>675</v>
      </c>
      <c r="M21" s="31">
        <f>38400</f>
        <v>38400</v>
      </c>
      <c r="N21" s="32" t="s">
        <v>778</v>
      </c>
      <c r="O21" s="31">
        <f>33950</f>
        <v>33950</v>
      </c>
      <c r="P21" s="32" t="s">
        <v>675</v>
      </c>
      <c r="Q21" s="31">
        <f>37670</f>
        <v>37670</v>
      </c>
      <c r="R21" s="32" t="s">
        <v>681</v>
      </c>
      <c r="S21" s="33">
        <f>36821.58</f>
        <v>36821.58</v>
      </c>
      <c r="T21" s="30">
        <f>972673</f>
        <v>972673</v>
      </c>
      <c r="U21" s="30">
        <f>193221</f>
        <v>193221</v>
      </c>
      <c r="V21" s="30">
        <f>35570462575</f>
        <v>35570462575</v>
      </c>
      <c r="W21" s="30">
        <f>7099316585</f>
        <v>7099316585</v>
      </c>
      <c r="X21" s="34">
        <f>19</f>
        <v>19</v>
      </c>
    </row>
    <row r="22" spans="1:24">
      <c r="A22" s="25" t="s">
        <v>1078</v>
      </c>
      <c r="B22" s="25" t="s">
        <v>1079</v>
      </c>
      <c r="C22" s="25" t="s">
        <v>1080</v>
      </c>
      <c r="D22" s="25" t="s">
        <v>1081</v>
      </c>
      <c r="E22" s="26" t="s">
        <v>672</v>
      </c>
      <c r="F22" s="27" t="s">
        <v>673</v>
      </c>
      <c r="G22" s="28" t="s">
        <v>1082</v>
      </c>
      <c r="H22" s="29"/>
      <c r="I22" s="29" t="s">
        <v>44</v>
      </c>
      <c r="J22" s="30">
        <v>1</v>
      </c>
      <c r="K22" s="31">
        <f>1003</f>
        <v>1003</v>
      </c>
      <c r="L22" s="32" t="s">
        <v>681</v>
      </c>
      <c r="M22" s="31">
        <f>1005</f>
        <v>1005</v>
      </c>
      <c r="N22" s="32" t="s">
        <v>681</v>
      </c>
      <c r="O22" s="31">
        <f>999</f>
        <v>999</v>
      </c>
      <c r="P22" s="32" t="s">
        <v>681</v>
      </c>
      <c r="Q22" s="31">
        <f>1003</f>
        <v>1003</v>
      </c>
      <c r="R22" s="32" t="s">
        <v>681</v>
      </c>
      <c r="S22" s="33">
        <f>1003</f>
        <v>1003</v>
      </c>
      <c r="T22" s="30">
        <f>8802</f>
        <v>8802</v>
      </c>
      <c r="U22" s="30" t="str">
        <f>"－"</f>
        <v>－</v>
      </c>
      <c r="V22" s="30">
        <f>8817419</f>
        <v>8817419</v>
      </c>
      <c r="W22" s="30" t="str">
        <f>"－"</f>
        <v>－</v>
      </c>
      <c r="X22" s="34">
        <f>1</f>
        <v>1</v>
      </c>
    </row>
    <row r="23" spans="1:24">
      <c r="A23" s="25" t="s">
        <v>1078</v>
      </c>
      <c r="B23" s="25" t="s">
        <v>83</v>
      </c>
      <c r="C23" s="25" t="s">
        <v>967</v>
      </c>
      <c r="D23" s="25" t="s">
        <v>84</v>
      </c>
      <c r="E23" s="26" t="s">
        <v>43</v>
      </c>
      <c r="F23" s="27" t="s">
        <v>43</v>
      </c>
      <c r="G23" s="28" t="s">
        <v>43</v>
      </c>
      <c r="H23" s="29"/>
      <c r="I23" s="29" t="s">
        <v>44</v>
      </c>
      <c r="J23" s="30">
        <v>10</v>
      </c>
      <c r="K23" s="31">
        <f>1956.5</f>
        <v>1956.5</v>
      </c>
      <c r="L23" s="32" t="s">
        <v>675</v>
      </c>
      <c r="M23" s="31">
        <f>1992.5</f>
        <v>1992.5</v>
      </c>
      <c r="N23" s="32" t="s">
        <v>778</v>
      </c>
      <c r="O23" s="31">
        <f>1933.5</f>
        <v>1933.5</v>
      </c>
      <c r="P23" s="32" t="s">
        <v>675</v>
      </c>
      <c r="Q23" s="31">
        <f>1953</f>
        <v>1953</v>
      </c>
      <c r="R23" s="32" t="s">
        <v>681</v>
      </c>
      <c r="S23" s="33">
        <f>1963.84</f>
        <v>1963.84</v>
      </c>
      <c r="T23" s="30">
        <f>8669670</f>
        <v>8669670</v>
      </c>
      <c r="U23" s="30">
        <f>2272370</f>
        <v>2272370</v>
      </c>
      <c r="V23" s="30">
        <f>16998865926</f>
        <v>16998865926</v>
      </c>
      <c r="W23" s="30">
        <f>4439962901</f>
        <v>4439962901</v>
      </c>
      <c r="X23" s="34">
        <f>19</f>
        <v>19</v>
      </c>
    </row>
    <row r="24" spans="1:24">
      <c r="A24" s="25" t="s">
        <v>1078</v>
      </c>
      <c r="B24" s="25" t="s">
        <v>85</v>
      </c>
      <c r="C24" s="25" t="s">
        <v>86</v>
      </c>
      <c r="D24" s="25" t="s">
        <v>968</v>
      </c>
      <c r="E24" s="26" t="s">
        <v>43</v>
      </c>
      <c r="F24" s="27" t="s">
        <v>43</v>
      </c>
      <c r="G24" s="28" t="s">
        <v>43</v>
      </c>
      <c r="H24" s="29"/>
      <c r="I24" s="29" t="s">
        <v>44</v>
      </c>
      <c r="J24" s="30">
        <v>100</v>
      </c>
      <c r="K24" s="31">
        <f>1830</f>
        <v>1830</v>
      </c>
      <c r="L24" s="32" t="s">
        <v>675</v>
      </c>
      <c r="M24" s="31">
        <f>1865</f>
        <v>1865</v>
      </c>
      <c r="N24" s="32" t="s">
        <v>760</v>
      </c>
      <c r="O24" s="31">
        <f>1812</f>
        <v>1812</v>
      </c>
      <c r="P24" s="32" t="s">
        <v>675</v>
      </c>
      <c r="Q24" s="31">
        <f>1828</f>
        <v>1828</v>
      </c>
      <c r="R24" s="32" t="s">
        <v>681</v>
      </c>
      <c r="S24" s="33">
        <f>1839.26</f>
        <v>1839.26</v>
      </c>
      <c r="T24" s="30">
        <f>4861000</f>
        <v>4861000</v>
      </c>
      <c r="U24" s="30">
        <f>457200</f>
        <v>457200</v>
      </c>
      <c r="V24" s="30">
        <f>8953214523</f>
        <v>8953214523</v>
      </c>
      <c r="W24" s="30">
        <f>844180173</f>
        <v>844180173</v>
      </c>
      <c r="X24" s="34">
        <f>19</f>
        <v>19</v>
      </c>
    </row>
    <row r="25" spans="1:24">
      <c r="A25" s="25" t="s">
        <v>1078</v>
      </c>
      <c r="B25" s="25" t="s">
        <v>87</v>
      </c>
      <c r="C25" s="25" t="s">
        <v>88</v>
      </c>
      <c r="D25" s="25" t="s">
        <v>969</v>
      </c>
      <c r="E25" s="26" t="s">
        <v>43</v>
      </c>
      <c r="F25" s="27" t="s">
        <v>43</v>
      </c>
      <c r="G25" s="28" t="s">
        <v>43</v>
      </c>
      <c r="H25" s="29"/>
      <c r="I25" s="29" t="s">
        <v>44</v>
      </c>
      <c r="J25" s="30">
        <v>1</v>
      </c>
      <c r="K25" s="31">
        <f>34330</f>
        <v>34330</v>
      </c>
      <c r="L25" s="32" t="s">
        <v>675</v>
      </c>
      <c r="M25" s="31">
        <f>38170</f>
        <v>38170</v>
      </c>
      <c r="N25" s="32" t="s">
        <v>778</v>
      </c>
      <c r="O25" s="31">
        <f>34000</f>
        <v>34000</v>
      </c>
      <c r="P25" s="32" t="s">
        <v>675</v>
      </c>
      <c r="Q25" s="31">
        <f>37440</f>
        <v>37440</v>
      </c>
      <c r="R25" s="32" t="s">
        <v>681</v>
      </c>
      <c r="S25" s="33">
        <f>36686.32</f>
        <v>36686.32</v>
      </c>
      <c r="T25" s="30">
        <f>1437102</f>
        <v>1437102</v>
      </c>
      <c r="U25" s="30">
        <f>854820</f>
        <v>854820</v>
      </c>
      <c r="V25" s="30">
        <f>53206753164</f>
        <v>53206753164</v>
      </c>
      <c r="W25" s="30">
        <f>31898592264</f>
        <v>31898592264</v>
      </c>
      <c r="X25" s="34">
        <f>19</f>
        <v>19</v>
      </c>
    </row>
    <row r="26" spans="1:24">
      <c r="A26" s="25" t="s">
        <v>1078</v>
      </c>
      <c r="B26" s="25" t="s">
        <v>89</v>
      </c>
      <c r="C26" s="25" t="s">
        <v>90</v>
      </c>
      <c r="D26" s="25" t="s">
        <v>91</v>
      </c>
      <c r="E26" s="26" t="s">
        <v>43</v>
      </c>
      <c r="F26" s="27" t="s">
        <v>43</v>
      </c>
      <c r="G26" s="28" t="s">
        <v>43</v>
      </c>
      <c r="H26" s="29"/>
      <c r="I26" s="29" t="s">
        <v>44</v>
      </c>
      <c r="J26" s="30">
        <v>10</v>
      </c>
      <c r="K26" s="31">
        <f>2462</f>
        <v>2462</v>
      </c>
      <c r="L26" s="32" t="s">
        <v>675</v>
      </c>
      <c r="M26" s="31">
        <f>2655</f>
        <v>2655</v>
      </c>
      <c r="N26" s="32" t="s">
        <v>778</v>
      </c>
      <c r="O26" s="31">
        <f>2439</f>
        <v>2439</v>
      </c>
      <c r="P26" s="32" t="s">
        <v>675</v>
      </c>
      <c r="Q26" s="31">
        <f>2639</f>
        <v>2639</v>
      </c>
      <c r="R26" s="32" t="s">
        <v>681</v>
      </c>
      <c r="S26" s="33">
        <f>2588.47</f>
        <v>2588.4699999999998</v>
      </c>
      <c r="T26" s="30">
        <f>3300980</f>
        <v>3300980</v>
      </c>
      <c r="U26" s="30">
        <f>104900</f>
        <v>104900</v>
      </c>
      <c r="V26" s="30">
        <f>8518983590</f>
        <v>8518983590</v>
      </c>
      <c r="W26" s="30">
        <f>272101500</f>
        <v>272101500</v>
      </c>
      <c r="X26" s="34">
        <f>19</f>
        <v>19</v>
      </c>
    </row>
    <row r="27" spans="1:24">
      <c r="A27" s="25" t="s">
        <v>1078</v>
      </c>
      <c r="B27" s="25" t="s">
        <v>92</v>
      </c>
      <c r="C27" s="25" t="s">
        <v>93</v>
      </c>
      <c r="D27" s="25" t="s">
        <v>94</v>
      </c>
      <c r="E27" s="26" t="s">
        <v>43</v>
      </c>
      <c r="F27" s="27" t="s">
        <v>43</v>
      </c>
      <c r="G27" s="28" t="s">
        <v>43</v>
      </c>
      <c r="H27" s="29"/>
      <c r="I27" s="29" t="s">
        <v>44</v>
      </c>
      <c r="J27" s="30">
        <v>1</v>
      </c>
      <c r="K27" s="31">
        <f>15465</f>
        <v>15465</v>
      </c>
      <c r="L27" s="32" t="s">
        <v>675</v>
      </c>
      <c r="M27" s="31">
        <f>15945</f>
        <v>15945</v>
      </c>
      <c r="N27" s="32" t="s">
        <v>678</v>
      </c>
      <c r="O27" s="31">
        <f>15465</f>
        <v>15465</v>
      </c>
      <c r="P27" s="32" t="s">
        <v>675</v>
      </c>
      <c r="Q27" s="31">
        <f>15605</f>
        <v>15605</v>
      </c>
      <c r="R27" s="32" t="s">
        <v>681</v>
      </c>
      <c r="S27" s="33">
        <f>15712.78</f>
        <v>15712.78</v>
      </c>
      <c r="T27" s="30">
        <f>1142</f>
        <v>1142</v>
      </c>
      <c r="U27" s="30" t="str">
        <f>"－"</f>
        <v>－</v>
      </c>
      <c r="V27" s="30">
        <f>17947130</f>
        <v>17947130</v>
      </c>
      <c r="W27" s="30" t="str">
        <f>"－"</f>
        <v>－</v>
      </c>
      <c r="X27" s="34">
        <f>18</f>
        <v>18</v>
      </c>
    </row>
    <row r="28" spans="1:24">
      <c r="A28" s="25" t="s">
        <v>1078</v>
      </c>
      <c r="B28" s="25" t="s">
        <v>95</v>
      </c>
      <c r="C28" s="25" t="s">
        <v>96</v>
      </c>
      <c r="D28" s="25" t="s">
        <v>97</v>
      </c>
      <c r="E28" s="26" t="s">
        <v>43</v>
      </c>
      <c r="F28" s="27" t="s">
        <v>43</v>
      </c>
      <c r="G28" s="28" t="s">
        <v>43</v>
      </c>
      <c r="H28" s="29"/>
      <c r="I28" s="29" t="s">
        <v>44</v>
      </c>
      <c r="J28" s="30">
        <v>10</v>
      </c>
      <c r="K28" s="31">
        <f>546.6</f>
        <v>546.6</v>
      </c>
      <c r="L28" s="32" t="s">
        <v>675</v>
      </c>
      <c r="M28" s="31">
        <f>556</f>
        <v>556</v>
      </c>
      <c r="N28" s="32" t="s">
        <v>675</v>
      </c>
      <c r="O28" s="31">
        <f>458.1</f>
        <v>458.1</v>
      </c>
      <c r="P28" s="32" t="s">
        <v>778</v>
      </c>
      <c r="Q28" s="31">
        <f>463.1</f>
        <v>463.1</v>
      </c>
      <c r="R28" s="32" t="s">
        <v>681</v>
      </c>
      <c r="S28" s="33">
        <f>486.26</f>
        <v>486.26</v>
      </c>
      <c r="T28" s="30">
        <f>29415850</f>
        <v>29415850</v>
      </c>
      <c r="U28" s="30">
        <f>891600</f>
        <v>891600</v>
      </c>
      <c r="V28" s="30">
        <f>14312494340</f>
        <v>14312494340</v>
      </c>
      <c r="W28" s="30">
        <f>418210980</f>
        <v>418210980</v>
      </c>
      <c r="X28" s="34">
        <f>19</f>
        <v>19</v>
      </c>
    </row>
    <row r="29" spans="1:24">
      <c r="A29" s="25" t="s">
        <v>1078</v>
      </c>
      <c r="B29" s="25" t="s">
        <v>98</v>
      </c>
      <c r="C29" s="25" t="s">
        <v>99</v>
      </c>
      <c r="D29" s="25" t="s">
        <v>970</v>
      </c>
      <c r="E29" s="26" t="s">
        <v>43</v>
      </c>
      <c r="F29" s="27" t="s">
        <v>43</v>
      </c>
      <c r="G29" s="28" t="s">
        <v>43</v>
      </c>
      <c r="H29" s="29"/>
      <c r="I29" s="29" t="s">
        <v>44</v>
      </c>
      <c r="J29" s="30">
        <v>1</v>
      </c>
      <c r="K29" s="31">
        <f>214</f>
        <v>214</v>
      </c>
      <c r="L29" s="32" t="s">
        <v>675</v>
      </c>
      <c r="M29" s="31">
        <f>218</f>
        <v>218</v>
      </c>
      <c r="N29" s="32" t="s">
        <v>675</v>
      </c>
      <c r="O29" s="31">
        <f>169</f>
        <v>169</v>
      </c>
      <c r="P29" s="32" t="s">
        <v>778</v>
      </c>
      <c r="Q29" s="31">
        <f>175</f>
        <v>175</v>
      </c>
      <c r="R29" s="32" t="s">
        <v>681</v>
      </c>
      <c r="S29" s="33">
        <f>184.74</f>
        <v>184.74</v>
      </c>
      <c r="T29" s="30">
        <f>1642511386</f>
        <v>1642511386</v>
      </c>
      <c r="U29" s="30">
        <f>3879429</f>
        <v>3879429</v>
      </c>
      <c r="V29" s="30">
        <f>305634963713</f>
        <v>305634963713</v>
      </c>
      <c r="W29" s="30">
        <f>720773670</f>
        <v>720773670</v>
      </c>
      <c r="X29" s="34">
        <f>19</f>
        <v>19</v>
      </c>
    </row>
    <row r="30" spans="1:24">
      <c r="A30" s="25" t="s">
        <v>1078</v>
      </c>
      <c r="B30" s="25" t="s">
        <v>100</v>
      </c>
      <c r="C30" s="25" t="s">
        <v>101</v>
      </c>
      <c r="D30" s="25" t="s">
        <v>102</v>
      </c>
      <c r="E30" s="26" t="s">
        <v>43</v>
      </c>
      <c r="F30" s="27" t="s">
        <v>43</v>
      </c>
      <c r="G30" s="28" t="s">
        <v>43</v>
      </c>
      <c r="H30" s="29"/>
      <c r="I30" s="29" t="s">
        <v>44</v>
      </c>
      <c r="J30" s="30">
        <v>1</v>
      </c>
      <c r="K30" s="31">
        <f>37830</f>
        <v>37830</v>
      </c>
      <c r="L30" s="32" t="s">
        <v>675</v>
      </c>
      <c r="M30" s="31">
        <f>47710</f>
        <v>47710</v>
      </c>
      <c r="N30" s="32" t="s">
        <v>778</v>
      </c>
      <c r="O30" s="31">
        <f>37370</f>
        <v>37370</v>
      </c>
      <c r="P30" s="32" t="s">
        <v>675</v>
      </c>
      <c r="Q30" s="31">
        <f>45880</f>
        <v>45880</v>
      </c>
      <c r="R30" s="32" t="s">
        <v>681</v>
      </c>
      <c r="S30" s="33">
        <f>43910</f>
        <v>43910</v>
      </c>
      <c r="T30" s="30">
        <f>467822</f>
        <v>467822</v>
      </c>
      <c r="U30" s="30">
        <f>13</f>
        <v>13</v>
      </c>
      <c r="V30" s="30">
        <f>20345618090</f>
        <v>20345618090</v>
      </c>
      <c r="W30" s="30">
        <f>553280</f>
        <v>553280</v>
      </c>
      <c r="X30" s="34">
        <f>19</f>
        <v>19</v>
      </c>
    </row>
    <row r="31" spans="1:24">
      <c r="A31" s="25" t="s">
        <v>1078</v>
      </c>
      <c r="B31" s="25" t="s">
        <v>103</v>
      </c>
      <c r="C31" s="25" t="s">
        <v>104</v>
      </c>
      <c r="D31" s="25" t="s">
        <v>105</v>
      </c>
      <c r="E31" s="26" t="s">
        <v>43</v>
      </c>
      <c r="F31" s="27" t="s">
        <v>43</v>
      </c>
      <c r="G31" s="28" t="s">
        <v>43</v>
      </c>
      <c r="H31" s="29"/>
      <c r="I31" s="29" t="s">
        <v>44</v>
      </c>
      <c r="J31" s="30">
        <v>10</v>
      </c>
      <c r="K31" s="31">
        <f>527.4</f>
        <v>527.4</v>
      </c>
      <c r="L31" s="32" t="s">
        <v>675</v>
      </c>
      <c r="M31" s="31">
        <f>532.7</f>
        <v>532.70000000000005</v>
      </c>
      <c r="N31" s="32" t="s">
        <v>675</v>
      </c>
      <c r="O31" s="31">
        <f>413.6</f>
        <v>413.6</v>
      </c>
      <c r="P31" s="32" t="s">
        <v>778</v>
      </c>
      <c r="Q31" s="31">
        <f>429.7</f>
        <v>429.7</v>
      </c>
      <c r="R31" s="32" t="s">
        <v>681</v>
      </c>
      <c r="S31" s="33">
        <f>452.24</f>
        <v>452.24</v>
      </c>
      <c r="T31" s="30">
        <f>552128140</f>
        <v>552128140</v>
      </c>
      <c r="U31" s="30">
        <f>1622470</f>
        <v>1622470</v>
      </c>
      <c r="V31" s="30">
        <f>249099488368</f>
        <v>249099488368</v>
      </c>
      <c r="W31" s="30">
        <f>716275921</f>
        <v>716275921</v>
      </c>
      <c r="X31" s="34">
        <f>19</f>
        <v>19</v>
      </c>
    </row>
    <row r="32" spans="1:24">
      <c r="A32" s="25" t="s">
        <v>1078</v>
      </c>
      <c r="B32" s="25" t="s">
        <v>106</v>
      </c>
      <c r="C32" s="25" t="s">
        <v>107</v>
      </c>
      <c r="D32" s="25" t="s">
        <v>108</v>
      </c>
      <c r="E32" s="26" t="s">
        <v>43</v>
      </c>
      <c r="F32" s="27" t="s">
        <v>43</v>
      </c>
      <c r="G32" s="28" t="s">
        <v>43</v>
      </c>
      <c r="H32" s="29"/>
      <c r="I32" s="29" t="s">
        <v>44</v>
      </c>
      <c r="J32" s="30">
        <v>1</v>
      </c>
      <c r="K32" s="31">
        <f>21935</f>
        <v>21935</v>
      </c>
      <c r="L32" s="32" t="s">
        <v>675</v>
      </c>
      <c r="M32" s="31">
        <f>24275</f>
        <v>24275</v>
      </c>
      <c r="N32" s="32" t="s">
        <v>683</v>
      </c>
      <c r="O32" s="31">
        <f>21745</f>
        <v>21745</v>
      </c>
      <c r="P32" s="32" t="s">
        <v>675</v>
      </c>
      <c r="Q32" s="31">
        <f>23745</f>
        <v>23745</v>
      </c>
      <c r="R32" s="32" t="s">
        <v>681</v>
      </c>
      <c r="S32" s="33">
        <f>23303.68</f>
        <v>23303.68</v>
      </c>
      <c r="T32" s="30">
        <f>42885</f>
        <v>42885</v>
      </c>
      <c r="U32" s="30">
        <f>6205</f>
        <v>6205</v>
      </c>
      <c r="V32" s="30">
        <f>1003301915</f>
        <v>1003301915</v>
      </c>
      <c r="W32" s="30">
        <f>143408550</f>
        <v>143408550</v>
      </c>
      <c r="X32" s="34">
        <f>19</f>
        <v>19</v>
      </c>
    </row>
    <row r="33" spans="1:24">
      <c r="A33" s="25" t="s">
        <v>1078</v>
      </c>
      <c r="B33" s="25" t="s">
        <v>109</v>
      </c>
      <c r="C33" s="25" t="s">
        <v>900</v>
      </c>
      <c r="D33" s="25" t="s">
        <v>901</v>
      </c>
      <c r="E33" s="26" t="s">
        <v>43</v>
      </c>
      <c r="F33" s="27" t="s">
        <v>43</v>
      </c>
      <c r="G33" s="28" t="s">
        <v>43</v>
      </c>
      <c r="H33" s="29"/>
      <c r="I33" s="29" t="s">
        <v>44</v>
      </c>
      <c r="J33" s="30">
        <v>1</v>
      </c>
      <c r="K33" s="31">
        <f>31430</f>
        <v>31430</v>
      </c>
      <c r="L33" s="32" t="s">
        <v>675</v>
      </c>
      <c r="M33" s="31">
        <f>39700</f>
        <v>39700</v>
      </c>
      <c r="N33" s="32" t="s">
        <v>778</v>
      </c>
      <c r="O33" s="31">
        <f>31070</f>
        <v>31070</v>
      </c>
      <c r="P33" s="32" t="s">
        <v>675</v>
      </c>
      <c r="Q33" s="31">
        <f>38160</f>
        <v>38160</v>
      </c>
      <c r="R33" s="32" t="s">
        <v>681</v>
      </c>
      <c r="S33" s="33">
        <f>36541.58</f>
        <v>36541.58</v>
      </c>
      <c r="T33" s="30">
        <f>1017760</f>
        <v>1017760</v>
      </c>
      <c r="U33" s="30">
        <f>31</f>
        <v>31</v>
      </c>
      <c r="V33" s="30">
        <f>37150240310</f>
        <v>37150240310</v>
      </c>
      <c r="W33" s="30">
        <f>1093040</f>
        <v>1093040</v>
      </c>
      <c r="X33" s="34">
        <f>19</f>
        <v>19</v>
      </c>
    </row>
    <row r="34" spans="1:24">
      <c r="A34" s="25" t="s">
        <v>1078</v>
      </c>
      <c r="B34" s="25" t="s">
        <v>110</v>
      </c>
      <c r="C34" s="25" t="s">
        <v>902</v>
      </c>
      <c r="D34" s="25" t="s">
        <v>903</v>
      </c>
      <c r="E34" s="26" t="s">
        <v>43</v>
      </c>
      <c r="F34" s="27" t="s">
        <v>43</v>
      </c>
      <c r="G34" s="28" t="s">
        <v>43</v>
      </c>
      <c r="H34" s="29"/>
      <c r="I34" s="29" t="s">
        <v>44</v>
      </c>
      <c r="J34" s="30">
        <v>1</v>
      </c>
      <c r="K34" s="31">
        <f>560</f>
        <v>560</v>
      </c>
      <c r="L34" s="32" t="s">
        <v>675</v>
      </c>
      <c r="M34" s="31">
        <f>567</f>
        <v>567</v>
      </c>
      <c r="N34" s="32" t="s">
        <v>675</v>
      </c>
      <c r="O34" s="31">
        <f>439</f>
        <v>439</v>
      </c>
      <c r="P34" s="32" t="s">
        <v>778</v>
      </c>
      <c r="Q34" s="31">
        <f>456</f>
        <v>456</v>
      </c>
      <c r="R34" s="32" t="s">
        <v>681</v>
      </c>
      <c r="S34" s="33">
        <f>480.42</f>
        <v>480.42</v>
      </c>
      <c r="T34" s="30">
        <f>39968798</f>
        <v>39968798</v>
      </c>
      <c r="U34" s="30">
        <f>530366</f>
        <v>530366</v>
      </c>
      <c r="V34" s="30">
        <f>19214103099</f>
        <v>19214103099</v>
      </c>
      <c r="W34" s="30">
        <f>275476559</f>
        <v>275476559</v>
      </c>
      <c r="X34" s="34">
        <f>19</f>
        <v>19</v>
      </c>
    </row>
    <row r="35" spans="1:24">
      <c r="A35" s="25" t="s">
        <v>1078</v>
      </c>
      <c r="B35" s="25" t="s">
        <v>111</v>
      </c>
      <c r="C35" s="25" t="s">
        <v>904</v>
      </c>
      <c r="D35" s="25" t="s">
        <v>905</v>
      </c>
      <c r="E35" s="26" t="s">
        <v>43</v>
      </c>
      <c r="F35" s="27" t="s">
        <v>43</v>
      </c>
      <c r="G35" s="28" t="s">
        <v>43</v>
      </c>
      <c r="H35" s="29"/>
      <c r="I35" s="29" t="s">
        <v>44</v>
      </c>
      <c r="J35" s="30">
        <v>1</v>
      </c>
      <c r="K35" s="31">
        <f>28000</f>
        <v>28000</v>
      </c>
      <c r="L35" s="32" t="s">
        <v>675</v>
      </c>
      <c r="M35" s="31">
        <f>33190</f>
        <v>33190</v>
      </c>
      <c r="N35" s="32" t="s">
        <v>778</v>
      </c>
      <c r="O35" s="31">
        <f>27500</f>
        <v>27500</v>
      </c>
      <c r="P35" s="32" t="s">
        <v>675</v>
      </c>
      <c r="Q35" s="31">
        <f>32800</f>
        <v>32800</v>
      </c>
      <c r="R35" s="32" t="s">
        <v>681</v>
      </c>
      <c r="S35" s="33">
        <f>31369.21</f>
        <v>31369.21</v>
      </c>
      <c r="T35" s="30">
        <f>188025</f>
        <v>188025</v>
      </c>
      <c r="U35" s="30" t="str">
        <f>"－"</f>
        <v>－</v>
      </c>
      <c r="V35" s="30">
        <f>5865169945</f>
        <v>5865169945</v>
      </c>
      <c r="W35" s="30" t="str">
        <f>"－"</f>
        <v>－</v>
      </c>
      <c r="X35" s="34">
        <f>19</f>
        <v>19</v>
      </c>
    </row>
    <row r="36" spans="1:24">
      <c r="A36" s="25" t="s">
        <v>1078</v>
      </c>
      <c r="B36" s="25" t="s">
        <v>112</v>
      </c>
      <c r="C36" s="25" t="s">
        <v>906</v>
      </c>
      <c r="D36" s="25" t="s">
        <v>907</v>
      </c>
      <c r="E36" s="26" t="s">
        <v>43</v>
      </c>
      <c r="F36" s="27" t="s">
        <v>43</v>
      </c>
      <c r="G36" s="28" t="s">
        <v>43</v>
      </c>
      <c r="H36" s="29"/>
      <c r="I36" s="29" t="s">
        <v>44</v>
      </c>
      <c r="J36" s="30">
        <v>1</v>
      </c>
      <c r="K36" s="31">
        <f>793</f>
        <v>793</v>
      </c>
      <c r="L36" s="32" t="s">
        <v>675</v>
      </c>
      <c r="M36" s="31">
        <f>806</f>
        <v>806</v>
      </c>
      <c r="N36" s="32" t="s">
        <v>675</v>
      </c>
      <c r="O36" s="31">
        <f>664</f>
        <v>664</v>
      </c>
      <c r="P36" s="32" t="s">
        <v>778</v>
      </c>
      <c r="Q36" s="31">
        <f>670</f>
        <v>670</v>
      </c>
      <c r="R36" s="32" t="s">
        <v>681</v>
      </c>
      <c r="S36" s="33">
        <f>705.47</f>
        <v>705.47</v>
      </c>
      <c r="T36" s="30">
        <f>1960196</f>
        <v>1960196</v>
      </c>
      <c r="U36" s="30" t="str">
        <f>"－"</f>
        <v>－</v>
      </c>
      <c r="V36" s="30">
        <f>1405582363</f>
        <v>1405582363</v>
      </c>
      <c r="W36" s="30" t="str">
        <f>"－"</f>
        <v>－</v>
      </c>
      <c r="X36" s="34">
        <f>19</f>
        <v>19</v>
      </c>
    </row>
    <row r="37" spans="1:24">
      <c r="A37" s="25" t="s">
        <v>1078</v>
      </c>
      <c r="B37" s="25" t="s">
        <v>113</v>
      </c>
      <c r="C37" s="25" t="s">
        <v>114</v>
      </c>
      <c r="D37" s="25" t="s">
        <v>115</v>
      </c>
      <c r="E37" s="26" t="s">
        <v>43</v>
      </c>
      <c r="F37" s="27" t="s">
        <v>43</v>
      </c>
      <c r="G37" s="28" t="s">
        <v>43</v>
      </c>
      <c r="H37" s="29"/>
      <c r="I37" s="29" t="s">
        <v>44</v>
      </c>
      <c r="J37" s="30">
        <v>1</v>
      </c>
      <c r="K37" s="31">
        <f>33020</f>
        <v>33020</v>
      </c>
      <c r="L37" s="32" t="s">
        <v>675</v>
      </c>
      <c r="M37" s="31">
        <f>37020</f>
        <v>37020</v>
      </c>
      <c r="N37" s="32" t="s">
        <v>778</v>
      </c>
      <c r="O37" s="31">
        <f>32770</f>
        <v>32770</v>
      </c>
      <c r="P37" s="32" t="s">
        <v>675</v>
      </c>
      <c r="Q37" s="31">
        <f>36330</f>
        <v>36330</v>
      </c>
      <c r="R37" s="32" t="s">
        <v>681</v>
      </c>
      <c r="S37" s="33">
        <f>35520</f>
        <v>35520</v>
      </c>
      <c r="T37" s="30">
        <f>55744</f>
        <v>55744</v>
      </c>
      <c r="U37" s="30">
        <f>8824</f>
        <v>8824</v>
      </c>
      <c r="V37" s="30">
        <f>1971820563</f>
        <v>1971820563</v>
      </c>
      <c r="W37" s="30">
        <f>315599173</f>
        <v>315599173</v>
      </c>
      <c r="X37" s="34">
        <f>19</f>
        <v>19</v>
      </c>
    </row>
    <row r="38" spans="1:24">
      <c r="A38" s="25" t="s">
        <v>1078</v>
      </c>
      <c r="B38" s="25" t="s">
        <v>116</v>
      </c>
      <c r="C38" s="25" t="s">
        <v>117</v>
      </c>
      <c r="D38" s="25" t="s">
        <v>118</v>
      </c>
      <c r="E38" s="26" t="s">
        <v>43</v>
      </c>
      <c r="F38" s="27" t="s">
        <v>43</v>
      </c>
      <c r="G38" s="28" t="s">
        <v>43</v>
      </c>
      <c r="H38" s="29"/>
      <c r="I38" s="29" t="s">
        <v>44</v>
      </c>
      <c r="J38" s="30">
        <v>1</v>
      </c>
      <c r="K38" s="31">
        <f>33400</f>
        <v>33400</v>
      </c>
      <c r="L38" s="32" t="s">
        <v>675</v>
      </c>
      <c r="M38" s="31">
        <f>37360</f>
        <v>37360</v>
      </c>
      <c r="N38" s="32" t="s">
        <v>778</v>
      </c>
      <c r="O38" s="31">
        <f>33070</f>
        <v>33070</v>
      </c>
      <c r="P38" s="32" t="s">
        <v>675</v>
      </c>
      <c r="Q38" s="31">
        <f>36530</f>
        <v>36530</v>
      </c>
      <c r="R38" s="32" t="s">
        <v>681</v>
      </c>
      <c r="S38" s="33">
        <f>35855.26</f>
        <v>35855.26</v>
      </c>
      <c r="T38" s="30">
        <f>149108</f>
        <v>149108</v>
      </c>
      <c r="U38" s="30">
        <f>19364</f>
        <v>19364</v>
      </c>
      <c r="V38" s="30">
        <f>5293782370</f>
        <v>5293782370</v>
      </c>
      <c r="W38" s="30">
        <f>697188620</f>
        <v>697188620</v>
      </c>
      <c r="X38" s="34">
        <f>19</f>
        <v>19</v>
      </c>
    </row>
    <row r="39" spans="1:24">
      <c r="A39" s="25" t="s">
        <v>1078</v>
      </c>
      <c r="B39" s="25" t="s">
        <v>119</v>
      </c>
      <c r="C39" s="25" t="s">
        <v>120</v>
      </c>
      <c r="D39" s="25" t="s">
        <v>121</v>
      </c>
      <c r="E39" s="26" t="s">
        <v>43</v>
      </c>
      <c r="F39" s="27" t="s">
        <v>43</v>
      </c>
      <c r="G39" s="28" t="s">
        <v>43</v>
      </c>
      <c r="H39" s="29"/>
      <c r="I39" s="29" t="s">
        <v>44</v>
      </c>
      <c r="J39" s="30">
        <v>10</v>
      </c>
      <c r="K39" s="31">
        <f>1856.5</f>
        <v>1856.5</v>
      </c>
      <c r="L39" s="32" t="s">
        <v>675</v>
      </c>
      <c r="M39" s="31">
        <f>1895</f>
        <v>1895</v>
      </c>
      <c r="N39" s="32" t="s">
        <v>778</v>
      </c>
      <c r="O39" s="31">
        <f>1839</f>
        <v>1839</v>
      </c>
      <c r="P39" s="32" t="s">
        <v>675</v>
      </c>
      <c r="Q39" s="31">
        <f>1851</f>
        <v>1851</v>
      </c>
      <c r="R39" s="32" t="s">
        <v>681</v>
      </c>
      <c r="S39" s="33">
        <f>1866.66</f>
        <v>1866.66</v>
      </c>
      <c r="T39" s="30">
        <f>908790</f>
        <v>908790</v>
      </c>
      <c r="U39" s="30">
        <f>399180</f>
        <v>399180</v>
      </c>
      <c r="V39" s="30">
        <f>1696343148</f>
        <v>1696343148</v>
      </c>
      <c r="W39" s="30">
        <f>744952073</f>
        <v>744952073</v>
      </c>
      <c r="X39" s="34">
        <f>19</f>
        <v>19</v>
      </c>
    </row>
    <row r="40" spans="1:24">
      <c r="A40" s="25" t="s">
        <v>1078</v>
      </c>
      <c r="B40" s="25" t="s">
        <v>122</v>
      </c>
      <c r="C40" s="25" t="s">
        <v>123</v>
      </c>
      <c r="D40" s="25" t="s">
        <v>124</v>
      </c>
      <c r="E40" s="26" t="s">
        <v>43</v>
      </c>
      <c r="F40" s="27" t="s">
        <v>43</v>
      </c>
      <c r="G40" s="28" t="s">
        <v>43</v>
      </c>
      <c r="H40" s="29"/>
      <c r="I40" s="29" t="s">
        <v>44</v>
      </c>
      <c r="J40" s="30">
        <v>10</v>
      </c>
      <c r="K40" s="31">
        <f>2078</f>
        <v>2078</v>
      </c>
      <c r="L40" s="32" t="s">
        <v>675</v>
      </c>
      <c r="M40" s="31">
        <f>2320.5</f>
        <v>2320.5</v>
      </c>
      <c r="N40" s="32" t="s">
        <v>759</v>
      </c>
      <c r="O40" s="31">
        <f>2055</f>
        <v>2055</v>
      </c>
      <c r="P40" s="32" t="s">
        <v>679</v>
      </c>
      <c r="Q40" s="31">
        <f>2078</f>
        <v>2078</v>
      </c>
      <c r="R40" s="32" t="s">
        <v>681</v>
      </c>
      <c r="S40" s="33">
        <f>2135.58</f>
        <v>2135.58</v>
      </c>
      <c r="T40" s="30">
        <f>16760</f>
        <v>16760</v>
      </c>
      <c r="U40" s="30">
        <f>60</f>
        <v>60</v>
      </c>
      <c r="V40" s="30">
        <f>35731150</f>
        <v>35731150</v>
      </c>
      <c r="W40" s="30">
        <f>128960</f>
        <v>128960</v>
      </c>
      <c r="X40" s="34">
        <f>19</f>
        <v>19</v>
      </c>
    </row>
    <row r="41" spans="1:24">
      <c r="A41" s="25" t="s">
        <v>1078</v>
      </c>
      <c r="B41" s="25" t="s">
        <v>125</v>
      </c>
      <c r="C41" s="25" t="s">
        <v>908</v>
      </c>
      <c r="D41" s="25" t="s">
        <v>909</v>
      </c>
      <c r="E41" s="26" t="s">
        <v>43</v>
      </c>
      <c r="F41" s="27" t="s">
        <v>43</v>
      </c>
      <c r="G41" s="28" t="s">
        <v>43</v>
      </c>
      <c r="H41" s="29"/>
      <c r="I41" s="29" t="s">
        <v>44</v>
      </c>
      <c r="J41" s="30">
        <v>1</v>
      </c>
      <c r="K41" s="31">
        <f>3225</f>
        <v>3225</v>
      </c>
      <c r="L41" s="32" t="s">
        <v>675</v>
      </c>
      <c r="M41" s="31">
        <f>3250</f>
        <v>3250</v>
      </c>
      <c r="N41" s="32" t="s">
        <v>675</v>
      </c>
      <c r="O41" s="31">
        <f>2866</f>
        <v>2866</v>
      </c>
      <c r="P41" s="32" t="s">
        <v>778</v>
      </c>
      <c r="Q41" s="31">
        <f>2921</f>
        <v>2921</v>
      </c>
      <c r="R41" s="32" t="s">
        <v>681</v>
      </c>
      <c r="S41" s="33">
        <f>2995.68</f>
        <v>2995.68</v>
      </c>
      <c r="T41" s="30">
        <f>2831164</f>
        <v>2831164</v>
      </c>
      <c r="U41" s="30">
        <f>402700</f>
        <v>402700</v>
      </c>
      <c r="V41" s="30">
        <f>8480800250</f>
        <v>8480800250</v>
      </c>
      <c r="W41" s="30">
        <f>1233059588</f>
        <v>1233059588</v>
      </c>
      <c r="X41" s="34">
        <f>19</f>
        <v>19</v>
      </c>
    </row>
    <row r="42" spans="1:24">
      <c r="A42" s="25" t="s">
        <v>1078</v>
      </c>
      <c r="B42" s="25" t="s">
        <v>126</v>
      </c>
      <c r="C42" s="25" t="s">
        <v>910</v>
      </c>
      <c r="D42" s="25" t="s">
        <v>911</v>
      </c>
      <c r="E42" s="26" t="s">
        <v>43</v>
      </c>
      <c r="F42" s="27" t="s">
        <v>43</v>
      </c>
      <c r="G42" s="28" t="s">
        <v>43</v>
      </c>
      <c r="H42" s="29"/>
      <c r="I42" s="29" t="s">
        <v>44</v>
      </c>
      <c r="J42" s="30">
        <v>1</v>
      </c>
      <c r="K42" s="31">
        <f>3765</f>
        <v>3765</v>
      </c>
      <c r="L42" s="32" t="s">
        <v>675</v>
      </c>
      <c r="M42" s="31">
        <f>3790</f>
        <v>3790</v>
      </c>
      <c r="N42" s="32" t="s">
        <v>675</v>
      </c>
      <c r="O42" s="31">
        <f>3445</f>
        <v>3445</v>
      </c>
      <c r="P42" s="32" t="s">
        <v>778</v>
      </c>
      <c r="Q42" s="31">
        <f>3465</f>
        <v>3465</v>
      </c>
      <c r="R42" s="32" t="s">
        <v>681</v>
      </c>
      <c r="S42" s="33">
        <f>3549.74</f>
        <v>3549.74</v>
      </c>
      <c r="T42" s="30">
        <f>1789009</f>
        <v>1789009</v>
      </c>
      <c r="U42" s="30">
        <f>1574678</f>
        <v>1574678</v>
      </c>
      <c r="V42" s="30">
        <f>6360403499</f>
        <v>6360403499</v>
      </c>
      <c r="W42" s="30">
        <f>5590139939</f>
        <v>5590139939</v>
      </c>
      <c r="X42" s="34">
        <f>19</f>
        <v>19</v>
      </c>
    </row>
    <row r="43" spans="1:24">
      <c r="A43" s="25" t="s">
        <v>1078</v>
      </c>
      <c r="B43" s="25" t="s">
        <v>127</v>
      </c>
      <c r="C43" s="25" t="s">
        <v>128</v>
      </c>
      <c r="D43" s="25" t="s">
        <v>129</v>
      </c>
      <c r="E43" s="26" t="s">
        <v>43</v>
      </c>
      <c r="F43" s="27" t="s">
        <v>43</v>
      </c>
      <c r="G43" s="28" t="s">
        <v>43</v>
      </c>
      <c r="H43" s="29"/>
      <c r="I43" s="29" t="s">
        <v>44</v>
      </c>
      <c r="J43" s="30">
        <v>1</v>
      </c>
      <c r="K43" s="31">
        <f>23975</f>
        <v>23975</v>
      </c>
      <c r="L43" s="32" t="s">
        <v>675</v>
      </c>
      <c r="M43" s="31">
        <f>30300</f>
        <v>30300</v>
      </c>
      <c r="N43" s="32" t="s">
        <v>778</v>
      </c>
      <c r="O43" s="31">
        <f>23685</f>
        <v>23685</v>
      </c>
      <c r="P43" s="32" t="s">
        <v>675</v>
      </c>
      <c r="Q43" s="31">
        <f>29150</f>
        <v>29150</v>
      </c>
      <c r="R43" s="32" t="s">
        <v>681</v>
      </c>
      <c r="S43" s="33">
        <f>27876.84</f>
        <v>27876.84</v>
      </c>
      <c r="T43" s="30">
        <f>9129043</f>
        <v>9129043</v>
      </c>
      <c r="U43" s="30">
        <f>702</f>
        <v>702</v>
      </c>
      <c r="V43" s="30">
        <f>253162642962</f>
        <v>253162642962</v>
      </c>
      <c r="W43" s="30">
        <f>20362202</f>
        <v>20362202</v>
      </c>
      <c r="X43" s="34">
        <f>19</f>
        <v>19</v>
      </c>
    </row>
    <row r="44" spans="1:24">
      <c r="A44" s="25" t="s">
        <v>1078</v>
      </c>
      <c r="B44" s="25" t="s">
        <v>130</v>
      </c>
      <c r="C44" s="25" t="s">
        <v>131</v>
      </c>
      <c r="D44" s="25" t="s">
        <v>132</v>
      </c>
      <c r="E44" s="26" t="s">
        <v>43</v>
      </c>
      <c r="F44" s="27" t="s">
        <v>43</v>
      </c>
      <c r="G44" s="28" t="s">
        <v>43</v>
      </c>
      <c r="H44" s="29"/>
      <c r="I44" s="29" t="s">
        <v>44</v>
      </c>
      <c r="J44" s="30">
        <v>1</v>
      </c>
      <c r="K44" s="31">
        <f>868</f>
        <v>868</v>
      </c>
      <c r="L44" s="32" t="s">
        <v>675</v>
      </c>
      <c r="M44" s="31">
        <f>879</f>
        <v>879</v>
      </c>
      <c r="N44" s="32" t="s">
        <v>675</v>
      </c>
      <c r="O44" s="31">
        <f>682</f>
        <v>682</v>
      </c>
      <c r="P44" s="32" t="s">
        <v>778</v>
      </c>
      <c r="Q44" s="31">
        <f>708</f>
        <v>708</v>
      </c>
      <c r="R44" s="32" t="s">
        <v>681</v>
      </c>
      <c r="S44" s="33">
        <f>745.58</f>
        <v>745.58</v>
      </c>
      <c r="T44" s="30">
        <f>252707321</f>
        <v>252707321</v>
      </c>
      <c r="U44" s="30">
        <f>54145</f>
        <v>54145</v>
      </c>
      <c r="V44" s="30">
        <f>188107173108</f>
        <v>188107173108</v>
      </c>
      <c r="W44" s="30">
        <f>40132528</f>
        <v>40132528</v>
      </c>
      <c r="X44" s="34">
        <f>19</f>
        <v>19</v>
      </c>
    </row>
    <row r="45" spans="1:24">
      <c r="A45" s="25" t="s">
        <v>1078</v>
      </c>
      <c r="B45" s="25" t="s">
        <v>133</v>
      </c>
      <c r="C45" s="25" t="s">
        <v>912</v>
      </c>
      <c r="D45" s="25" t="s">
        <v>913</v>
      </c>
      <c r="E45" s="26" t="s">
        <v>43</v>
      </c>
      <c r="F45" s="27" t="s">
        <v>43</v>
      </c>
      <c r="G45" s="28" t="s">
        <v>43</v>
      </c>
      <c r="H45" s="29"/>
      <c r="I45" s="29" t="s">
        <v>44</v>
      </c>
      <c r="J45" s="30">
        <v>1</v>
      </c>
      <c r="K45" s="31">
        <f>22200</f>
        <v>22200</v>
      </c>
      <c r="L45" s="32" t="s">
        <v>675</v>
      </c>
      <c r="M45" s="31">
        <f>26770</f>
        <v>26770</v>
      </c>
      <c r="N45" s="32" t="s">
        <v>778</v>
      </c>
      <c r="O45" s="31">
        <f>22125</f>
        <v>22125</v>
      </c>
      <c r="P45" s="32" t="s">
        <v>675</v>
      </c>
      <c r="Q45" s="31">
        <f>26085</f>
        <v>26085</v>
      </c>
      <c r="R45" s="32" t="s">
        <v>681</v>
      </c>
      <c r="S45" s="33">
        <f>25198.95</f>
        <v>25198.95</v>
      </c>
      <c r="T45" s="30">
        <f>8252</f>
        <v>8252</v>
      </c>
      <c r="U45" s="30" t="str">
        <f>"－"</f>
        <v>－</v>
      </c>
      <c r="V45" s="30">
        <f>209707195</f>
        <v>209707195</v>
      </c>
      <c r="W45" s="30" t="str">
        <f>"－"</f>
        <v>－</v>
      </c>
      <c r="X45" s="34">
        <f>19</f>
        <v>19</v>
      </c>
    </row>
    <row r="46" spans="1:24">
      <c r="A46" s="25" t="s">
        <v>1078</v>
      </c>
      <c r="B46" s="25" t="s">
        <v>134</v>
      </c>
      <c r="C46" s="25" t="s">
        <v>914</v>
      </c>
      <c r="D46" s="25" t="s">
        <v>915</v>
      </c>
      <c r="E46" s="26" t="s">
        <v>43</v>
      </c>
      <c r="F46" s="27" t="s">
        <v>43</v>
      </c>
      <c r="G46" s="28" t="s">
        <v>43</v>
      </c>
      <c r="H46" s="29"/>
      <c r="I46" s="29" t="s">
        <v>44</v>
      </c>
      <c r="J46" s="30">
        <v>1</v>
      </c>
      <c r="K46" s="31">
        <f>3665</f>
        <v>3665</v>
      </c>
      <c r="L46" s="32" t="s">
        <v>675</v>
      </c>
      <c r="M46" s="31">
        <f>3665</f>
        <v>3665</v>
      </c>
      <c r="N46" s="32" t="s">
        <v>675</v>
      </c>
      <c r="O46" s="31">
        <f>3345</f>
        <v>3345</v>
      </c>
      <c r="P46" s="32" t="s">
        <v>778</v>
      </c>
      <c r="Q46" s="31">
        <f>3395</f>
        <v>3395</v>
      </c>
      <c r="R46" s="32" t="s">
        <v>681</v>
      </c>
      <c r="S46" s="33">
        <f>3448.44</f>
        <v>3448.44</v>
      </c>
      <c r="T46" s="30">
        <f>473</f>
        <v>473</v>
      </c>
      <c r="U46" s="30" t="str">
        <f>"－"</f>
        <v>－</v>
      </c>
      <c r="V46" s="30">
        <f>1630150</f>
        <v>1630150</v>
      </c>
      <c r="W46" s="30" t="str">
        <f>"－"</f>
        <v>－</v>
      </c>
      <c r="X46" s="34">
        <f>16</f>
        <v>16</v>
      </c>
    </row>
    <row r="47" spans="1:24">
      <c r="A47" s="25" t="s">
        <v>1078</v>
      </c>
      <c r="B47" s="25" t="s">
        <v>135</v>
      </c>
      <c r="C47" s="25" t="s">
        <v>916</v>
      </c>
      <c r="D47" s="25" t="s">
        <v>917</v>
      </c>
      <c r="E47" s="26" t="s">
        <v>43</v>
      </c>
      <c r="F47" s="27" t="s">
        <v>43</v>
      </c>
      <c r="G47" s="28" t="s">
        <v>43</v>
      </c>
      <c r="H47" s="29"/>
      <c r="I47" s="29" t="s">
        <v>44</v>
      </c>
      <c r="J47" s="30">
        <v>1</v>
      </c>
      <c r="K47" s="31">
        <f>1030</f>
        <v>1030</v>
      </c>
      <c r="L47" s="32" t="s">
        <v>675</v>
      </c>
      <c r="M47" s="31">
        <f>1033</f>
        <v>1033</v>
      </c>
      <c r="N47" s="32" t="s">
        <v>675</v>
      </c>
      <c r="O47" s="31">
        <f>845</f>
        <v>845</v>
      </c>
      <c r="P47" s="32" t="s">
        <v>778</v>
      </c>
      <c r="Q47" s="31">
        <f>861</f>
        <v>861</v>
      </c>
      <c r="R47" s="32" t="s">
        <v>681</v>
      </c>
      <c r="S47" s="33">
        <f>900.37</f>
        <v>900.37</v>
      </c>
      <c r="T47" s="30">
        <f>85177</f>
        <v>85177</v>
      </c>
      <c r="U47" s="30">
        <f>10000</f>
        <v>10000</v>
      </c>
      <c r="V47" s="30">
        <f>76758894</f>
        <v>76758894</v>
      </c>
      <c r="W47" s="30">
        <f>8990000</f>
        <v>8990000</v>
      </c>
      <c r="X47" s="34">
        <f>19</f>
        <v>19</v>
      </c>
    </row>
    <row r="48" spans="1:24">
      <c r="A48" s="25" t="s">
        <v>1078</v>
      </c>
      <c r="B48" s="25" t="s">
        <v>136</v>
      </c>
      <c r="C48" s="25" t="s">
        <v>137</v>
      </c>
      <c r="D48" s="25" t="s">
        <v>138</v>
      </c>
      <c r="E48" s="26" t="s">
        <v>43</v>
      </c>
      <c r="F48" s="27" t="s">
        <v>43</v>
      </c>
      <c r="G48" s="28" t="s">
        <v>43</v>
      </c>
      <c r="H48" s="29"/>
      <c r="I48" s="29" t="s">
        <v>44</v>
      </c>
      <c r="J48" s="30">
        <v>10</v>
      </c>
      <c r="K48" s="31">
        <f>997.2</f>
        <v>997.2</v>
      </c>
      <c r="L48" s="32" t="s">
        <v>675</v>
      </c>
      <c r="M48" s="31">
        <f>1005</f>
        <v>1005</v>
      </c>
      <c r="N48" s="32" t="s">
        <v>675</v>
      </c>
      <c r="O48" s="31">
        <f>831</f>
        <v>831</v>
      </c>
      <c r="P48" s="32" t="s">
        <v>778</v>
      </c>
      <c r="Q48" s="31">
        <f>846</f>
        <v>846</v>
      </c>
      <c r="R48" s="32" t="s">
        <v>681</v>
      </c>
      <c r="S48" s="33">
        <f>881.27</f>
        <v>881.27</v>
      </c>
      <c r="T48" s="30">
        <f>164010</f>
        <v>164010</v>
      </c>
      <c r="U48" s="30">
        <f>60000</f>
        <v>60000</v>
      </c>
      <c r="V48" s="30">
        <f>146273593</f>
        <v>146273593</v>
      </c>
      <c r="W48" s="30">
        <f>53580000</f>
        <v>53580000</v>
      </c>
      <c r="X48" s="34">
        <f>19</f>
        <v>19</v>
      </c>
    </row>
    <row r="49" spans="1:24">
      <c r="A49" s="25" t="s">
        <v>1078</v>
      </c>
      <c r="B49" s="25" t="s">
        <v>139</v>
      </c>
      <c r="C49" s="25" t="s">
        <v>140</v>
      </c>
      <c r="D49" s="25" t="s">
        <v>141</v>
      </c>
      <c r="E49" s="26" t="s">
        <v>43</v>
      </c>
      <c r="F49" s="27" t="s">
        <v>43</v>
      </c>
      <c r="G49" s="28" t="s">
        <v>43</v>
      </c>
      <c r="H49" s="29"/>
      <c r="I49" s="29" t="s">
        <v>44</v>
      </c>
      <c r="J49" s="30">
        <v>1</v>
      </c>
      <c r="K49" s="31">
        <f>407</f>
        <v>407</v>
      </c>
      <c r="L49" s="32" t="s">
        <v>675</v>
      </c>
      <c r="M49" s="31">
        <f>411</f>
        <v>411</v>
      </c>
      <c r="N49" s="32" t="s">
        <v>675</v>
      </c>
      <c r="O49" s="31">
        <f>341</f>
        <v>341</v>
      </c>
      <c r="P49" s="32" t="s">
        <v>778</v>
      </c>
      <c r="Q49" s="31">
        <f>346</f>
        <v>346</v>
      </c>
      <c r="R49" s="32" t="s">
        <v>681</v>
      </c>
      <c r="S49" s="33">
        <f>361.58</f>
        <v>361.58</v>
      </c>
      <c r="T49" s="30">
        <f>208189</f>
        <v>208189</v>
      </c>
      <c r="U49" s="30">
        <f>60000</f>
        <v>60000</v>
      </c>
      <c r="V49" s="30">
        <f>77365205</f>
        <v>77365205</v>
      </c>
      <c r="W49" s="30">
        <f>23160000</f>
        <v>23160000</v>
      </c>
      <c r="X49" s="34">
        <f>19</f>
        <v>19</v>
      </c>
    </row>
    <row r="50" spans="1:24">
      <c r="A50" s="25" t="s">
        <v>1078</v>
      </c>
      <c r="B50" s="25" t="s">
        <v>142</v>
      </c>
      <c r="C50" s="25" t="s">
        <v>143</v>
      </c>
      <c r="D50" s="25" t="s">
        <v>144</v>
      </c>
      <c r="E50" s="26" t="s">
        <v>43</v>
      </c>
      <c r="F50" s="27" t="s">
        <v>43</v>
      </c>
      <c r="G50" s="28" t="s">
        <v>43</v>
      </c>
      <c r="H50" s="29"/>
      <c r="I50" s="29" t="s">
        <v>44</v>
      </c>
      <c r="J50" s="30">
        <v>10</v>
      </c>
      <c r="K50" s="31">
        <f>2388</f>
        <v>2388</v>
      </c>
      <c r="L50" s="32" t="s">
        <v>675</v>
      </c>
      <c r="M50" s="31">
        <f>2603</f>
        <v>2603</v>
      </c>
      <c r="N50" s="32" t="s">
        <v>778</v>
      </c>
      <c r="O50" s="31">
        <f>2376</f>
        <v>2376</v>
      </c>
      <c r="P50" s="32" t="s">
        <v>675</v>
      </c>
      <c r="Q50" s="31">
        <f>2587</f>
        <v>2587</v>
      </c>
      <c r="R50" s="32" t="s">
        <v>681</v>
      </c>
      <c r="S50" s="33">
        <f>2532.47</f>
        <v>2532.4699999999998</v>
      </c>
      <c r="T50" s="30">
        <f>920830</f>
        <v>920830</v>
      </c>
      <c r="U50" s="30">
        <f>318000</f>
        <v>318000</v>
      </c>
      <c r="V50" s="30">
        <f>2335041736</f>
        <v>2335041736</v>
      </c>
      <c r="W50" s="30">
        <f>800145761</f>
        <v>800145761</v>
      </c>
      <c r="X50" s="34">
        <f>19</f>
        <v>19</v>
      </c>
    </row>
    <row r="51" spans="1:24">
      <c r="A51" s="25" t="s">
        <v>1078</v>
      </c>
      <c r="B51" s="25" t="s">
        <v>145</v>
      </c>
      <c r="C51" s="25" t="s">
        <v>146</v>
      </c>
      <c r="D51" s="25" t="s">
        <v>147</v>
      </c>
      <c r="E51" s="26" t="s">
        <v>43</v>
      </c>
      <c r="F51" s="27" t="s">
        <v>43</v>
      </c>
      <c r="G51" s="28" t="s">
        <v>43</v>
      </c>
      <c r="H51" s="29"/>
      <c r="I51" s="29" t="s">
        <v>44</v>
      </c>
      <c r="J51" s="30">
        <v>1</v>
      </c>
      <c r="K51" s="31">
        <f>21340</f>
        <v>21340</v>
      </c>
      <c r="L51" s="32" t="s">
        <v>675</v>
      </c>
      <c r="M51" s="31">
        <f>23460</f>
        <v>23460</v>
      </c>
      <c r="N51" s="32" t="s">
        <v>778</v>
      </c>
      <c r="O51" s="31">
        <f>21340</f>
        <v>21340</v>
      </c>
      <c r="P51" s="32" t="s">
        <v>675</v>
      </c>
      <c r="Q51" s="31">
        <f>23215</f>
        <v>23215</v>
      </c>
      <c r="R51" s="32" t="s">
        <v>681</v>
      </c>
      <c r="S51" s="33">
        <f>22772.37</f>
        <v>22772.37</v>
      </c>
      <c r="T51" s="30">
        <f>4917</f>
        <v>4917</v>
      </c>
      <c r="U51" s="30">
        <f>2000</f>
        <v>2000</v>
      </c>
      <c r="V51" s="30">
        <f>112452225</f>
        <v>112452225</v>
      </c>
      <c r="W51" s="30">
        <f>45854200</f>
        <v>45854200</v>
      </c>
      <c r="X51" s="34">
        <f>19</f>
        <v>19</v>
      </c>
    </row>
    <row r="52" spans="1:24">
      <c r="A52" s="25" t="s">
        <v>1078</v>
      </c>
      <c r="B52" s="25" t="s">
        <v>148</v>
      </c>
      <c r="C52" s="25" t="s">
        <v>149</v>
      </c>
      <c r="D52" s="25" t="s">
        <v>150</v>
      </c>
      <c r="E52" s="26" t="s">
        <v>43</v>
      </c>
      <c r="F52" s="27" t="s">
        <v>43</v>
      </c>
      <c r="G52" s="28" t="s">
        <v>43</v>
      </c>
      <c r="H52" s="29"/>
      <c r="I52" s="29" t="s">
        <v>44</v>
      </c>
      <c r="J52" s="30">
        <v>1</v>
      </c>
      <c r="K52" s="31">
        <f>2438</f>
        <v>2438</v>
      </c>
      <c r="L52" s="32" t="s">
        <v>675</v>
      </c>
      <c r="M52" s="31">
        <f>2655</f>
        <v>2655</v>
      </c>
      <c r="N52" s="32" t="s">
        <v>778</v>
      </c>
      <c r="O52" s="31">
        <f>2414</f>
        <v>2414</v>
      </c>
      <c r="P52" s="32" t="s">
        <v>675</v>
      </c>
      <c r="Q52" s="31">
        <f>2642</f>
        <v>2642</v>
      </c>
      <c r="R52" s="32" t="s">
        <v>681</v>
      </c>
      <c r="S52" s="33">
        <f>2581.16</f>
        <v>2581.16</v>
      </c>
      <c r="T52" s="30">
        <f>11810224</f>
        <v>11810224</v>
      </c>
      <c r="U52" s="30">
        <f>5142240</f>
        <v>5142240</v>
      </c>
      <c r="V52" s="30">
        <f>30469134121</f>
        <v>30469134121</v>
      </c>
      <c r="W52" s="30">
        <f>13205769879</f>
        <v>13205769879</v>
      </c>
      <c r="X52" s="34">
        <f>19</f>
        <v>19</v>
      </c>
    </row>
    <row r="53" spans="1:24">
      <c r="A53" s="25" t="s">
        <v>1078</v>
      </c>
      <c r="B53" s="25" t="s">
        <v>151</v>
      </c>
      <c r="C53" s="25" t="s">
        <v>152</v>
      </c>
      <c r="D53" s="25" t="s">
        <v>153</v>
      </c>
      <c r="E53" s="26" t="s">
        <v>43</v>
      </c>
      <c r="F53" s="27" t="s">
        <v>43</v>
      </c>
      <c r="G53" s="28" t="s">
        <v>43</v>
      </c>
      <c r="H53" s="29"/>
      <c r="I53" s="29" t="s">
        <v>44</v>
      </c>
      <c r="J53" s="30">
        <v>1</v>
      </c>
      <c r="K53" s="31">
        <f>1870</f>
        <v>1870</v>
      </c>
      <c r="L53" s="32" t="s">
        <v>675</v>
      </c>
      <c r="M53" s="31">
        <f>1910</f>
        <v>1910</v>
      </c>
      <c r="N53" s="32" t="s">
        <v>778</v>
      </c>
      <c r="O53" s="31">
        <f>1853</f>
        <v>1853</v>
      </c>
      <c r="P53" s="32" t="s">
        <v>675</v>
      </c>
      <c r="Q53" s="31">
        <f>1871</f>
        <v>1871</v>
      </c>
      <c r="R53" s="32" t="s">
        <v>681</v>
      </c>
      <c r="S53" s="33">
        <f>1881.95</f>
        <v>1881.95</v>
      </c>
      <c r="T53" s="30">
        <f>3273733</f>
        <v>3273733</v>
      </c>
      <c r="U53" s="30">
        <f>1520279</f>
        <v>1520279</v>
      </c>
      <c r="V53" s="30">
        <f>6141312494</f>
        <v>6141312494</v>
      </c>
      <c r="W53" s="30">
        <f>2843839655</f>
        <v>2843839655</v>
      </c>
      <c r="X53" s="34">
        <f>19</f>
        <v>19</v>
      </c>
    </row>
    <row r="54" spans="1:24">
      <c r="A54" s="25" t="s">
        <v>1078</v>
      </c>
      <c r="B54" s="25" t="s">
        <v>154</v>
      </c>
      <c r="C54" s="25" t="s">
        <v>155</v>
      </c>
      <c r="D54" s="25" t="s">
        <v>156</v>
      </c>
      <c r="E54" s="26" t="s">
        <v>43</v>
      </c>
      <c r="F54" s="27" t="s">
        <v>43</v>
      </c>
      <c r="G54" s="28" t="s">
        <v>43</v>
      </c>
      <c r="H54" s="29"/>
      <c r="I54" s="29" t="s">
        <v>44</v>
      </c>
      <c r="J54" s="30">
        <v>1</v>
      </c>
      <c r="K54" s="31">
        <f>2288</f>
        <v>2288</v>
      </c>
      <c r="L54" s="32" t="s">
        <v>675</v>
      </c>
      <c r="M54" s="31">
        <f>2469</f>
        <v>2469</v>
      </c>
      <c r="N54" s="32" t="s">
        <v>778</v>
      </c>
      <c r="O54" s="31">
        <f>2280</f>
        <v>2280</v>
      </c>
      <c r="P54" s="32" t="s">
        <v>675</v>
      </c>
      <c r="Q54" s="31">
        <f>2448</f>
        <v>2448</v>
      </c>
      <c r="R54" s="32" t="s">
        <v>681</v>
      </c>
      <c r="S54" s="33">
        <f>2412.21</f>
        <v>2412.21</v>
      </c>
      <c r="T54" s="30">
        <f>244240</f>
        <v>244240</v>
      </c>
      <c r="U54" s="30">
        <f>196454</f>
        <v>196454</v>
      </c>
      <c r="V54" s="30">
        <f>592817289</f>
        <v>592817289</v>
      </c>
      <c r="W54" s="30">
        <f>477189589</f>
        <v>477189589</v>
      </c>
      <c r="X54" s="34">
        <f>19</f>
        <v>19</v>
      </c>
    </row>
    <row r="55" spans="1:24">
      <c r="A55" s="25" t="s">
        <v>1078</v>
      </c>
      <c r="B55" s="25" t="s">
        <v>157</v>
      </c>
      <c r="C55" s="25" t="s">
        <v>158</v>
      </c>
      <c r="D55" s="25" t="s">
        <v>159</v>
      </c>
      <c r="E55" s="26" t="s">
        <v>43</v>
      </c>
      <c r="F55" s="27" t="s">
        <v>43</v>
      </c>
      <c r="G55" s="28" t="s">
        <v>43</v>
      </c>
      <c r="H55" s="29"/>
      <c r="I55" s="29" t="s">
        <v>44</v>
      </c>
      <c r="J55" s="30">
        <v>1</v>
      </c>
      <c r="K55" s="31">
        <f>3155</f>
        <v>3155</v>
      </c>
      <c r="L55" s="32" t="s">
        <v>675</v>
      </c>
      <c r="M55" s="31">
        <f>3495</f>
        <v>3495</v>
      </c>
      <c r="N55" s="32" t="s">
        <v>681</v>
      </c>
      <c r="O55" s="31">
        <f>3140</f>
        <v>3140</v>
      </c>
      <c r="P55" s="32" t="s">
        <v>675</v>
      </c>
      <c r="Q55" s="31">
        <f>3495</f>
        <v>3495</v>
      </c>
      <c r="R55" s="32" t="s">
        <v>681</v>
      </c>
      <c r="S55" s="33">
        <f>3386.32</f>
        <v>3386.32</v>
      </c>
      <c r="T55" s="30">
        <f>1333039</f>
        <v>1333039</v>
      </c>
      <c r="U55" s="30">
        <f>605570</f>
        <v>605570</v>
      </c>
      <c r="V55" s="30">
        <f>4518189955</f>
        <v>4518189955</v>
      </c>
      <c r="W55" s="30">
        <f>2074499400</f>
        <v>2074499400</v>
      </c>
      <c r="X55" s="34">
        <f>19</f>
        <v>19</v>
      </c>
    </row>
    <row r="56" spans="1:24">
      <c r="A56" s="25" t="s">
        <v>1078</v>
      </c>
      <c r="B56" s="25" t="s">
        <v>160</v>
      </c>
      <c r="C56" s="25" t="s">
        <v>918</v>
      </c>
      <c r="D56" s="25" t="s">
        <v>919</v>
      </c>
      <c r="E56" s="26" t="s">
        <v>43</v>
      </c>
      <c r="F56" s="27" t="s">
        <v>43</v>
      </c>
      <c r="G56" s="28" t="s">
        <v>43</v>
      </c>
      <c r="H56" s="29"/>
      <c r="I56" s="29" t="s">
        <v>44</v>
      </c>
      <c r="J56" s="30">
        <v>1</v>
      </c>
      <c r="K56" s="31">
        <f>30350</f>
        <v>30350</v>
      </c>
      <c r="L56" s="32" t="s">
        <v>674</v>
      </c>
      <c r="M56" s="31">
        <f>32560</f>
        <v>32560</v>
      </c>
      <c r="N56" s="32" t="s">
        <v>760</v>
      </c>
      <c r="O56" s="31">
        <f>30350</f>
        <v>30350</v>
      </c>
      <c r="P56" s="32" t="s">
        <v>674</v>
      </c>
      <c r="Q56" s="31">
        <f>32020</f>
        <v>32020</v>
      </c>
      <c r="R56" s="32" t="s">
        <v>680</v>
      </c>
      <c r="S56" s="33">
        <f>31302</f>
        <v>31302</v>
      </c>
      <c r="T56" s="30">
        <f>337</f>
        <v>337</v>
      </c>
      <c r="U56" s="30" t="str">
        <f>"－"</f>
        <v>－</v>
      </c>
      <c r="V56" s="30">
        <f>10538800</f>
        <v>10538800</v>
      </c>
      <c r="W56" s="30" t="str">
        <f>"－"</f>
        <v>－</v>
      </c>
      <c r="X56" s="34">
        <f>5</f>
        <v>5</v>
      </c>
    </row>
    <row r="57" spans="1:24">
      <c r="A57" s="25" t="s">
        <v>1078</v>
      </c>
      <c r="B57" s="25" t="s">
        <v>161</v>
      </c>
      <c r="C57" s="25" t="s">
        <v>162</v>
      </c>
      <c r="D57" s="25" t="s">
        <v>163</v>
      </c>
      <c r="E57" s="26" t="s">
        <v>43</v>
      </c>
      <c r="F57" s="27" t="s">
        <v>43</v>
      </c>
      <c r="G57" s="28" t="s">
        <v>43</v>
      </c>
      <c r="H57" s="29"/>
      <c r="I57" s="29" t="s">
        <v>44</v>
      </c>
      <c r="J57" s="30">
        <v>1</v>
      </c>
      <c r="K57" s="31">
        <f>23910</f>
        <v>23910</v>
      </c>
      <c r="L57" s="32" t="s">
        <v>674</v>
      </c>
      <c r="M57" s="31">
        <f>25775</f>
        <v>25775</v>
      </c>
      <c r="N57" s="32" t="s">
        <v>874</v>
      </c>
      <c r="O57" s="31">
        <f>23910</f>
        <v>23910</v>
      </c>
      <c r="P57" s="32" t="s">
        <v>674</v>
      </c>
      <c r="Q57" s="31">
        <f>25385</f>
        <v>25385</v>
      </c>
      <c r="R57" s="32" t="s">
        <v>777</v>
      </c>
      <c r="S57" s="33">
        <f>25115</f>
        <v>25115</v>
      </c>
      <c r="T57" s="30">
        <f>338</f>
        <v>338</v>
      </c>
      <c r="U57" s="30" t="str">
        <f>"－"</f>
        <v>－</v>
      </c>
      <c r="V57" s="30">
        <f>8552375</f>
        <v>8552375</v>
      </c>
      <c r="W57" s="30" t="str">
        <f>"－"</f>
        <v>－</v>
      </c>
      <c r="X57" s="34">
        <f>15</f>
        <v>15</v>
      </c>
    </row>
    <row r="58" spans="1:24">
      <c r="A58" s="25" t="s">
        <v>1078</v>
      </c>
      <c r="B58" s="25" t="s">
        <v>164</v>
      </c>
      <c r="C58" s="25" t="s">
        <v>165</v>
      </c>
      <c r="D58" s="25" t="s">
        <v>166</v>
      </c>
      <c r="E58" s="26" t="s">
        <v>43</v>
      </c>
      <c r="F58" s="27" t="s">
        <v>43</v>
      </c>
      <c r="G58" s="28" t="s">
        <v>43</v>
      </c>
      <c r="H58" s="29"/>
      <c r="I58" s="29" t="s">
        <v>44</v>
      </c>
      <c r="J58" s="30">
        <v>1</v>
      </c>
      <c r="K58" s="31">
        <f>2409</f>
        <v>2409</v>
      </c>
      <c r="L58" s="32" t="s">
        <v>675</v>
      </c>
      <c r="M58" s="31">
        <f>2700</f>
        <v>2700</v>
      </c>
      <c r="N58" s="32" t="s">
        <v>875</v>
      </c>
      <c r="O58" s="31">
        <f>2401</f>
        <v>2401</v>
      </c>
      <c r="P58" s="32" t="s">
        <v>675</v>
      </c>
      <c r="Q58" s="31">
        <f>2613</f>
        <v>2613</v>
      </c>
      <c r="R58" s="32" t="s">
        <v>681</v>
      </c>
      <c r="S58" s="33">
        <f>2557.21</f>
        <v>2557.21</v>
      </c>
      <c r="T58" s="30">
        <f>3041</f>
        <v>3041</v>
      </c>
      <c r="U58" s="30" t="str">
        <f>"－"</f>
        <v>－</v>
      </c>
      <c r="V58" s="30">
        <f>7883564</f>
        <v>7883564</v>
      </c>
      <c r="W58" s="30" t="str">
        <f>"－"</f>
        <v>－</v>
      </c>
      <c r="X58" s="34">
        <f>19</f>
        <v>19</v>
      </c>
    </row>
    <row r="59" spans="1:24">
      <c r="A59" s="25" t="s">
        <v>1078</v>
      </c>
      <c r="B59" s="25" t="s">
        <v>167</v>
      </c>
      <c r="C59" s="25" t="s">
        <v>168</v>
      </c>
      <c r="D59" s="25" t="s">
        <v>169</v>
      </c>
      <c r="E59" s="26" t="s">
        <v>43</v>
      </c>
      <c r="F59" s="27" t="s">
        <v>43</v>
      </c>
      <c r="G59" s="28" t="s">
        <v>43</v>
      </c>
      <c r="H59" s="29"/>
      <c r="I59" s="29" t="s">
        <v>44</v>
      </c>
      <c r="J59" s="30">
        <v>1</v>
      </c>
      <c r="K59" s="31">
        <f>1808</f>
        <v>1808</v>
      </c>
      <c r="L59" s="32" t="s">
        <v>675</v>
      </c>
      <c r="M59" s="31">
        <f>1809</f>
        <v>1809</v>
      </c>
      <c r="N59" s="32" t="s">
        <v>675</v>
      </c>
      <c r="O59" s="31">
        <f>1759</f>
        <v>1759</v>
      </c>
      <c r="P59" s="32" t="s">
        <v>679</v>
      </c>
      <c r="Q59" s="31">
        <f>1781</f>
        <v>1781</v>
      </c>
      <c r="R59" s="32" t="s">
        <v>681</v>
      </c>
      <c r="S59" s="33">
        <f>1779.84</f>
        <v>1779.84</v>
      </c>
      <c r="T59" s="30">
        <f>5367184</f>
        <v>5367184</v>
      </c>
      <c r="U59" s="30">
        <f>1788941</f>
        <v>1788941</v>
      </c>
      <c r="V59" s="30">
        <f>9564623860</f>
        <v>9564623860</v>
      </c>
      <c r="W59" s="30">
        <f>3191381133</f>
        <v>3191381133</v>
      </c>
      <c r="X59" s="34">
        <f>19</f>
        <v>19</v>
      </c>
    </row>
    <row r="60" spans="1:24">
      <c r="A60" s="25" t="s">
        <v>1078</v>
      </c>
      <c r="B60" s="25" t="s">
        <v>170</v>
      </c>
      <c r="C60" s="25" t="s">
        <v>171</v>
      </c>
      <c r="D60" s="25" t="s">
        <v>172</v>
      </c>
      <c r="E60" s="26" t="s">
        <v>43</v>
      </c>
      <c r="F60" s="27" t="s">
        <v>43</v>
      </c>
      <c r="G60" s="28" t="s">
        <v>43</v>
      </c>
      <c r="H60" s="29"/>
      <c r="I60" s="29" t="s">
        <v>44</v>
      </c>
      <c r="J60" s="30">
        <v>1</v>
      </c>
      <c r="K60" s="31">
        <f>2426</f>
        <v>2426</v>
      </c>
      <c r="L60" s="32" t="s">
        <v>675</v>
      </c>
      <c r="M60" s="31">
        <f>2709</f>
        <v>2709</v>
      </c>
      <c r="N60" s="32" t="s">
        <v>760</v>
      </c>
      <c r="O60" s="31">
        <f>2426</f>
        <v>2426</v>
      </c>
      <c r="P60" s="32" t="s">
        <v>675</v>
      </c>
      <c r="Q60" s="31">
        <f>2653</f>
        <v>2653</v>
      </c>
      <c r="R60" s="32" t="s">
        <v>681</v>
      </c>
      <c r="S60" s="33">
        <f>2571.12</f>
        <v>2571.12</v>
      </c>
      <c r="T60" s="30">
        <f>3455</f>
        <v>3455</v>
      </c>
      <c r="U60" s="30" t="str">
        <f>"－"</f>
        <v>－</v>
      </c>
      <c r="V60" s="30">
        <f>8938695</f>
        <v>8938695</v>
      </c>
      <c r="W60" s="30" t="str">
        <f>"－"</f>
        <v>－</v>
      </c>
      <c r="X60" s="34">
        <f>17</f>
        <v>17</v>
      </c>
    </row>
    <row r="61" spans="1:24">
      <c r="A61" s="25" t="s">
        <v>1078</v>
      </c>
      <c r="B61" s="25" t="s">
        <v>173</v>
      </c>
      <c r="C61" s="25" t="s">
        <v>174</v>
      </c>
      <c r="D61" s="25" t="s">
        <v>175</v>
      </c>
      <c r="E61" s="26" t="s">
        <v>43</v>
      </c>
      <c r="F61" s="27" t="s">
        <v>43</v>
      </c>
      <c r="G61" s="28" t="s">
        <v>43</v>
      </c>
      <c r="H61" s="29"/>
      <c r="I61" s="29" t="s">
        <v>44</v>
      </c>
      <c r="J61" s="30">
        <v>10</v>
      </c>
      <c r="K61" s="31">
        <f>2396</f>
        <v>2396</v>
      </c>
      <c r="L61" s="32" t="s">
        <v>675</v>
      </c>
      <c r="M61" s="31">
        <f>2610.5</f>
        <v>2610.5</v>
      </c>
      <c r="N61" s="32" t="s">
        <v>676</v>
      </c>
      <c r="O61" s="31">
        <f>2396</f>
        <v>2396</v>
      </c>
      <c r="P61" s="32" t="s">
        <v>675</v>
      </c>
      <c r="Q61" s="31">
        <f>2581.5</f>
        <v>2581.5</v>
      </c>
      <c r="R61" s="32" t="s">
        <v>681</v>
      </c>
      <c r="S61" s="33">
        <f>2524.24</f>
        <v>2524.2399999999998</v>
      </c>
      <c r="T61" s="30">
        <f>52030</f>
        <v>52030</v>
      </c>
      <c r="U61" s="30" t="str">
        <f>"－"</f>
        <v>－</v>
      </c>
      <c r="V61" s="30">
        <f>132442230</f>
        <v>132442230</v>
      </c>
      <c r="W61" s="30" t="str">
        <f>"－"</f>
        <v>－</v>
      </c>
      <c r="X61" s="34">
        <f>19</f>
        <v>19</v>
      </c>
    </row>
    <row r="62" spans="1:24">
      <c r="A62" s="25" t="s">
        <v>1078</v>
      </c>
      <c r="B62" s="25" t="s">
        <v>176</v>
      </c>
      <c r="C62" s="25" t="s">
        <v>177</v>
      </c>
      <c r="D62" s="25" t="s">
        <v>178</v>
      </c>
      <c r="E62" s="26" t="s">
        <v>43</v>
      </c>
      <c r="F62" s="27" t="s">
        <v>43</v>
      </c>
      <c r="G62" s="28" t="s">
        <v>43</v>
      </c>
      <c r="H62" s="29"/>
      <c r="I62" s="29" t="s">
        <v>44</v>
      </c>
      <c r="J62" s="30">
        <v>1</v>
      </c>
      <c r="K62" s="31">
        <f>36220</f>
        <v>36220</v>
      </c>
      <c r="L62" s="32" t="s">
        <v>874</v>
      </c>
      <c r="M62" s="31">
        <f>36220</f>
        <v>36220</v>
      </c>
      <c r="N62" s="32" t="s">
        <v>874</v>
      </c>
      <c r="O62" s="31">
        <f>36220</f>
        <v>36220</v>
      </c>
      <c r="P62" s="32" t="s">
        <v>874</v>
      </c>
      <c r="Q62" s="31">
        <f>36220</f>
        <v>36220</v>
      </c>
      <c r="R62" s="32" t="s">
        <v>778</v>
      </c>
      <c r="S62" s="33">
        <f>36220</f>
        <v>36220</v>
      </c>
      <c r="T62" s="30">
        <f>3</f>
        <v>3</v>
      </c>
      <c r="U62" s="30" t="str">
        <f>"－"</f>
        <v>－</v>
      </c>
      <c r="V62" s="30">
        <f>108660</f>
        <v>108660</v>
      </c>
      <c r="W62" s="30" t="str">
        <f>"－"</f>
        <v>－</v>
      </c>
      <c r="X62" s="34">
        <f>2</f>
        <v>2</v>
      </c>
    </row>
    <row r="63" spans="1:24">
      <c r="A63" s="25" t="s">
        <v>1078</v>
      </c>
      <c r="B63" s="25" t="s">
        <v>179</v>
      </c>
      <c r="C63" s="25" t="s">
        <v>180</v>
      </c>
      <c r="D63" s="25" t="s">
        <v>181</v>
      </c>
      <c r="E63" s="26" t="s">
        <v>43</v>
      </c>
      <c r="F63" s="27" t="s">
        <v>43</v>
      </c>
      <c r="G63" s="28" t="s">
        <v>43</v>
      </c>
      <c r="H63" s="29"/>
      <c r="I63" s="29" t="s">
        <v>44</v>
      </c>
      <c r="J63" s="30">
        <v>1</v>
      </c>
      <c r="K63" s="31">
        <f>22970</f>
        <v>22970</v>
      </c>
      <c r="L63" s="32" t="s">
        <v>675</v>
      </c>
      <c r="M63" s="31">
        <f>23240</f>
        <v>23240</v>
      </c>
      <c r="N63" s="32" t="s">
        <v>681</v>
      </c>
      <c r="O63" s="31">
        <f>22495</f>
        <v>22495</v>
      </c>
      <c r="P63" s="32" t="s">
        <v>876</v>
      </c>
      <c r="Q63" s="31">
        <f>23240</f>
        <v>23240</v>
      </c>
      <c r="R63" s="32" t="s">
        <v>681</v>
      </c>
      <c r="S63" s="33">
        <f>23015.79</f>
        <v>23015.79</v>
      </c>
      <c r="T63" s="30">
        <f>709466</f>
        <v>709466</v>
      </c>
      <c r="U63" s="30">
        <f>430702</f>
        <v>430702</v>
      </c>
      <c r="V63" s="30">
        <f>16379578877</f>
        <v>16379578877</v>
      </c>
      <c r="W63" s="30">
        <f>9944551477</f>
        <v>9944551477</v>
      </c>
      <c r="X63" s="34">
        <f>19</f>
        <v>19</v>
      </c>
    </row>
    <row r="64" spans="1:24">
      <c r="A64" s="25" t="s">
        <v>1078</v>
      </c>
      <c r="B64" s="25" t="s">
        <v>182</v>
      </c>
      <c r="C64" s="25" t="s">
        <v>183</v>
      </c>
      <c r="D64" s="25" t="s">
        <v>184</v>
      </c>
      <c r="E64" s="26" t="s">
        <v>43</v>
      </c>
      <c r="F64" s="27" t="s">
        <v>43</v>
      </c>
      <c r="G64" s="28" t="s">
        <v>43</v>
      </c>
      <c r="H64" s="29"/>
      <c r="I64" s="29" t="s">
        <v>44</v>
      </c>
      <c r="J64" s="30">
        <v>1</v>
      </c>
      <c r="K64" s="31">
        <f>13980</f>
        <v>13980</v>
      </c>
      <c r="L64" s="32" t="s">
        <v>675</v>
      </c>
      <c r="M64" s="31">
        <f>13980</f>
        <v>13980</v>
      </c>
      <c r="N64" s="32" t="s">
        <v>675</v>
      </c>
      <c r="O64" s="31">
        <f>13495</f>
        <v>13495</v>
      </c>
      <c r="P64" s="32" t="s">
        <v>679</v>
      </c>
      <c r="Q64" s="31">
        <f>13675</f>
        <v>13675</v>
      </c>
      <c r="R64" s="32" t="s">
        <v>681</v>
      </c>
      <c r="S64" s="33">
        <f>13658.16</f>
        <v>13658.16</v>
      </c>
      <c r="T64" s="30">
        <f>668389</f>
        <v>668389</v>
      </c>
      <c r="U64" s="30">
        <f>390977</f>
        <v>390977</v>
      </c>
      <c r="V64" s="30">
        <f>9102799649</f>
        <v>9102799649</v>
      </c>
      <c r="W64" s="30">
        <f>5319703814</f>
        <v>5319703814</v>
      </c>
      <c r="X64" s="34">
        <f>19</f>
        <v>19</v>
      </c>
    </row>
    <row r="65" spans="1:24">
      <c r="A65" s="25" t="s">
        <v>1078</v>
      </c>
      <c r="B65" s="25" t="s">
        <v>185</v>
      </c>
      <c r="C65" s="25" t="s">
        <v>920</v>
      </c>
      <c r="D65" s="25" t="s">
        <v>921</v>
      </c>
      <c r="E65" s="26" t="s">
        <v>43</v>
      </c>
      <c r="F65" s="27" t="s">
        <v>43</v>
      </c>
      <c r="G65" s="28" t="s">
        <v>43</v>
      </c>
      <c r="H65" s="29"/>
      <c r="I65" s="29" t="s">
        <v>44</v>
      </c>
      <c r="J65" s="30">
        <v>10</v>
      </c>
      <c r="K65" s="31">
        <f>1869</f>
        <v>1869</v>
      </c>
      <c r="L65" s="32" t="s">
        <v>675</v>
      </c>
      <c r="M65" s="31">
        <f>1906</f>
        <v>1906</v>
      </c>
      <c r="N65" s="32" t="s">
        <v>778</v>
      </c>
      <c r="O65" s="31">
        <f>1850</f>
        <v>1850</v>
      </c>
      <c r="P65" s="32" t="s">
        <v>675</v>
      </c>
      <c r="Q65" s="31">
        <f>1866.5</f>
        <v>1866.5</v>
      </c>
      <c r="R65" s="32" t="s">
        <v>681</v>
      </c>
      <c r="S65" s="33">
        <f>1878.76</f>
        <v>1878.76</v>
      </c>
      <c r="T65" s="30">
        <f>1210270</f>
        <v>1210270</v>
      </c>
      <c r="U65" s="30">
        <f>479480</f>
        <v>479480</v>
      </c>
      <c r="V65" s="30">
        <f>2275457623</f>
        <v>2275457623</v>
      </c>
      <c r="W65" s="30">
        <f>903146603</f>
        <v>903146603</v>
      </c>
      <c r="X65" s="34">
        <f>19</f>
        <v>19</v>
      </c>
    </row>
    <row r="66" spans="1:24">
      <c r="A66" s="25" t="s">
        <v>1078</v>
      </c>
      <c r="B66" s="25" t="s">
        <v>186</v>
      </c>
      <c r="C66" s="25" t="s">
        <v>187</v>
      </c>
      <c r="D66" s="25" t="s">
        <v>188</v>
      </c>
      <c r="E66" s="26" t="s">
        <v>1076</v>
      </c>
      <c r="F66" s="27" t="s">
        <v>1077</v>
      </c>
      <c r="G66" s="28" t="s">
        <v>43</v>
      </c>
      <c r="H66" s="29"/>
      <c r="I66" s="29" t="s">
        <v>44</v>
      </c>
      <c r="J66" s="30">
        <v>1</v>
      </c>
      <c r="K66" s="31">
        <f>58500</f>
        <v>58500</v>
      </c>
      <c r="L66" s="32" t="s">
        <v>675</v>
      </c>
      <c r="M66" s="31">
        <f>62700</f>
        <v>62700</v>
      </c>
      <c r="N66" s="32" t="s">
        <v>760</v>
      </c>
      <c r="O66" s="31">
        <f>57880</f>
        <v>57880</v>
      </c>
      <c r="P66" s="32" t="s">
        <v>675</v>
      </c>
      <c r="Q66" s="31">
        <f>62410</f>
        <v>62410</v>
      </c>
      <c r="R66" s="32" t="s">
        <v>760</v>
      </c>
      <c r="S66" s="33">
        <f>60747.5</f>
        <v>60747.5</v>
      </c>
      <c r="T66" s="30">
        <f>394120</f>
        <v>394120</v>
      </c>
      <c r="U66" s="30">
        <f>20206</f>
        <v>20206</v>
      </c>
      <c r="V66" s="30">
        <f>23891427621</f>
        <v>23891427621</v>
      </c>
      <c r="W66" s="30">
        <f>1232802161</f>
        <v>1232802161</v>
      </c>
      <c r="X66" s="34">
        <f>8</f>
        <v>8</v>
      </c>
    </row>
    <row r="67" spans="1:24">
      <c r="A67" s="25" t="s">
        <v>1078</v>
      </c>
      <c r="B67" s="25" t="s">
        <v>186</v>
      </c>
      <c r="C67" s="25" t="s">
        <v>187</v>
      </c>
      <c r="D67" s="25" t="s">
        <v>188</v>
      </c>
      <c r="E67" s="26" t="s">
        <v>1076</v>
      </c>
      <c r="F67" s="27" t="s">
        <v>1077</v>
      </c>
      <c r="G67" s="28" t="s">
        <v>43</v>
      </c>
      <c r="H67" s="29"/>
      <c r="I67" s="29" t="s">
        <v>44</v>
      </c>
      <c r="J67" s="30">
        <v>1</v>
      </c>
      <c r="K67" s="31">
        <f>2097</f>
        <v>2097</v>
      </c>
      <c r="L67" s="32" t="s">
        <v>682</v>
      </c>
      <c r="M67" s="31">
        <f>2149</f>
        <v>2149</v>
      </c>
      <c r="N67" s="32" t="s">
        <v>682</v>
      </c>
      <c r="O67" s="31">
        <f>2071</f>
        <v>2071</v>
      </c>
      <c r="P67" s="32" t="s">
        <v>680</v>
      </c>
      <c r="Q67" s="31">
        <f>2137</f>
        <v>2137</v>
      </c>
      <c r="R67" s="32" t="s">
        <v>681</v>
      </c>
      <c r="S67" s="33">
        <f>2103.64</f>
        <v>2103.64</v>
      </c>
      <c r="T67" s="30">
        <f>7954673</f>
        <v>7954673</v>
      </c>
      <c r="U67" s="30">
        <f>492930</f>
        <v>492930</v>
      </c>
      <c r="V67" s="30">
        <f>16722112793</f>
        <v>16722112793</v>
      </c>
      <c r="W67" s="30">
        <f>1035306972</f>
        <v>1035306972</v>
      </c>
      <c r="X67" s="34">
        <f>11</f>
        <v>11</v>
      </c>
    </row>
    <row r="68" spans="1:24">
      <c r="A68" s="25" t="s">
        <v>1078</v>
      </c>
      <c r="B68" s="25" t="s">
        <v>189</v>
      </c>
      <c r="C68" s="25" t="s">
        <v>190</v>
      </c>
      <c r="D68" s="25" t="s">
        <v>191</v>
      </c>
      <c r="E68" s="26" t="s">
        <v>43</v>
      </c>
      <c r="F68" s="27" t="s">
        <v>43</v>
      </c>
      <c r="G68" s="28" t="s">
        <v>43</v>
      </c>
      <c r="H68" s="29"/>
      <c r="I68" s="29" t="s">
        <v>44</v>
      </c>
      <c r="J68" s="30">
        <v>10</v>
      </c>
      <c r="K68" s="31">
        <f>7874</f>
        <v>7874</v>
      </c>
      <c r="L68" s="32" t="s">
        <v>678</v>
      </c>
      <c r="M68" s="31">
        <f>7874</f>
        <v>7874</v>
      </c>
      <c r="N68" s="32" t="s">
        <v>678</v>
      </c>
      <c r="O68" s="31">
        <f>7874</f>
        <v>7874</v>
      </c>
      <c r="P68" s="32" t="s">
        <v>678</v>
      </c>
      <c r="Q68" s="31">
        <f>7874</f>
        <v>7874</v>
      </c>
      <c r="R68" s="32" t="s">
        <v>678</v>
      </c>
      <c r="S68" s="33">
        <f>7874</f>
        <v>7874</v>
      </c>
      <c r="T68" s="30">
        <f>10</f>
        <v>10</v>
      </c>
      <c r="U68" s="30" t="str">
        <f>"－"</f>
        <v>－</v>
      </c>
      <c r="V68" s="30">
        <f>78740</f>
        <v>78740</v>
      </c>
      <c r="W68" s="30" t="str">
        <f>"－"</f>
        <v>－</v>
      </c>
      <c r="X68" s="34">
        <f>1</f>
        <v>1</v>
      </c>
    </row>
    <row r="69" spans="1:24">
      <c r="A69" s="25" t="s">
        <v>1078</v>
      </c>
      <c r="B69" s="25" t="s">
        <v>192</v>
      </c>
      <c r="C69" s="25" t="s">
        <v>193</v>
      </c>
      <c r="D69" s="25" t="s">
        <v>194</v>
      </c>
      <c r="E69" s="26" t="s">
        <v>43</v>
      </c>
      <c r="F69" s="27" t="s">
        <v>43</v>
      </c>
      <c r="G69" s="28" t="s">
        <v>43</v>
      </c>
      <c r="H69" s="29" t="s">
        <v>240</v>
      </c>
      <c r="I69" s="29" t="s">
        <v>44</v>
      </c>
      <c r="J69" s="30">
        <v>1</v>
      </c>
      <c r="K69" s="31">
        <f>17245</f>
        <v>17245</v>
      </c>
      <c r="L69" s="32" t="s">
        <v>675</v>
      </c>
      <c r="M69" s="31">
        <f>18510</f>
        <v>18510</v>
      </c>
      <c r="N69" s="32" t="s">
        <v>777</v>
      </c>
      <c r="O69" s="31">
        <f>17245</f>
        <v>17245</v>
      </c>
      <c r="P69" s="32" t="s">
        <v>675</v>
      </c>
      <c r="Q69" s="31">
        <f>18510</f>
        <v>18510</v>
      </c>
      <c r="R69" s="32" t="s">
        <v>681</v>
      </c>
      <c r="S69" s="33">
        <f>18134.44</f>
        <v>18134.439999999999</v>
      </c>
      <c r="T69" s="30">
        <f>2035</f>
        <v>2035</v>
      </c>
      <c r="U69" s="30" t="str">
        <f>"－"</f>
        <v>－</v>
      </c>
      <c r="V69" s="30">
        <f>37077315</f>
        <v>37077315</v>
      </c>
      <c r="W69" s="30" t="str">
        <f>"－"</f>
        <v>－</v>
      </c>
      <c r="X69" s="34">
        <f>18</f>
        <v>18</v>
      </c>
    </row>
    <row r="70" spans="1:24">
      <c r="A70" s="25" t="s">
        <v>1078</v>
      </c>
      <c r="B70" s="25" t="s">
        <v>195</v>
      </c>
      <c r="C70" s="25" t="s">
        <v>196</v>
      </c>
      <c r="D70" s="25" t="s">
        <v>197</v>
      </c>
      <c r="E70" s="26" t="s">
        <v>43</v>
      </c>
      <c r="F70" s="27" t="s">
        <v>43</v>
      </c>
      <c r="G70" s="28" t="s">
        <v>43</v>
      </c>
      <c r="H70" s="29"/>
      <c r="I70" s="29" t="s">
        <v>44</v>
      </c>
      <c r="J70" s="30">
        <v>1</v>
      </c>
      <c r="K70" s="31">
        <f>17535</f>
        <v>17535</v>
      </c>
      <c r="L70" s="32" t="s">
        <v>675</v>
      </c>
      <c r="M70" s="31">
        <f>18420</f>
        <v>18420</v>
      </c>
      <c r="N70" s="32" t="s">
        <v>777</v>
      </c>
      <c r="O70" s="31">
        <f>17375</f>
        <v>17375</v>
      </c>
      <c r="P70" s="32" t="s">
        <v>675</v>
      </c>
      <c r="Q70" s="31">
        <f>18345</f>
        <v>18345</v>
      </c>
      <c r="R70" s="32" t="s">
        <v>681</v>
      </c>
      <c r="S70" s="33">
        <f>18053.42</f>
        <v>18053.419999999998</v>
      </c>
      <c r="T70" s="30">
        <f>3751</f>
        <v>3751</v>
      </c>
      <c r="U70" s="30" t="str">
        <f>"－"</f>
        <v>－</v>
      </c>
      <c r="V70" s="30">
        <f>68171175</f>
        <v>68171175</v>
      </c>
      <c r="W70" s="30" t="str">
        <f>"－"</f>
        <v>－</v>
      </c>
      <c r="X70" s="34">
        <f>19</f>
        <v>19</v>
      </c>
    </row>
    <row r="71" spans="1:24">
      <c r="A71" s="25" t="s">
        <v>1078</v>
      </c>
      <c r="B71" s="25" t="s">
        <v>198</v>
      </c>
      <c r="C71" s="25" t="s">
        <v>199</v>
      </c>
      <c r="D71" s="25" t="s">
        <v>200</v>
      </c>
      <c r="E71" s="26" t="s">
        <v>43</v>
      </c>
      <c r="F71" s="27" t="s">
        <v>43</v>
      </c>
      <c r="G71" s="28" t="s">
        <v>43</v>
      </c>
      <c r="H71" s="29"/>
      <c r="I71" s="29" t="s">
        <v>44</v>
      </c>
      <c r="J71" s="30">
        <v>1</v>
      </c>
      <c r="K71" s="31">
        <f>26940</f>
        <v>26940</v>
      </c>
      <c r="L71" s="32" t="s">
        <v>675</v>
      </c>
      <c r="M71" s="31">
        <f>28390</f>
        <v>28390</v>
      </c>
      <c r="N71" s="32" t="s">
        <v>760</v>
      </c>
      <c r="O71" s="31">
        <f>26420</f>
        <v>26420</v>
      </c>
      <c r="P71" s="32" t="s">
        <v>675</v>
      </c>
      <c r="Q71" s="31">
        <f>28280</f>
        <v>28280</v>
      </c>
      <c r="R71" s="32" t="s">
        <v>681</v>
      </c>
      <c r="S71" s="33">
        <f>27785.53</f>
        <v>27785.53</v>
      </c>
      <c r="T71" s="30">
        <f>39259</f>
        <v>39259</v>
      </c>
      <c r="U71" s="30">
        <f>14710</f>
        <v>14710</v>
      </c>
      <c r="V71" s="30">
        <f>1084958300</f>
        <v>1084958300</v>
      </c>
      <c r="W71" s="30">
        <f>402666170</f>
        <v>402666170</v>
      </c>
      <c r="X71" s="34">
        <f>19</f>
        <v>19</v>
      </c>
    </row>
    <row r="72" spans="1:24">
      <c r="A72" s="25" t="s">
        <v>1078</v>
      </c>
      <c r="B72" s="25" t="s">
        <v>201</v>
      </c>
      <c r="C72" s="25" t="s">
        <v>202</v>
      </c>
      <c r="D72" s="25" t="s">
        <v>203</v>
      </c>
      <c r="E72" s="26" t="s">
        <v>43</v>
      </c>
      <c r="F72" s="27" t="s">
        <v>43</v>
      </c>
      <c r="G72" s="28" t="s">
        <v>43</v>
      </c>
      <c r="H72" s="29"/>
      <c r="I72" s="29" t="s">
        <v>44</v>
      </c>
      <c r="J72" s="30">
        <v>10</v>
      </c>
      <c r="K72" s="31">
        <f>10600</f>
        <v>10600</v>
      </c>
      <c r="L72" s="32" t="s">
        <v>675</v>
      </c>
      <c r="M72" s="31">
        <f>10750</f>
        <v>10750</v>
      </c>
      <c r="N72" s="32" t="s">
        <v>682</v>
      </c>
      <c r="O72" s="31">
        <f>10250</f>
        <v>10250</v>
      </c>
      <c r="P72" s="32" t="s">
        <v>777</v>
      </c>
      <c r="Q72" s="31">
        <f>10260</f>
        <v>10260</v>
      </c>
      <c r="R72" s="32" t="s">
        <v>681</v>
      </c>
      <c r="S72" s="33">
        <f>10482.11</f>
        <v>10482.11</v>
      </c>
      <c r="T72" s="30">
        <f>14030</f>
        <v>14030</v>
      </c>
      <c r="U72" s="30">
        <f>120</f>
        <v>120</v>
      </c>
      <c r="V72" s="30">
        <f>147493500</f>
        <v>147493500</v>
      </c>
      <c r="W72" s="30">
        <f>1260150</f>
        <v>1260150</v>
      </c>
      <c r="X72" s="34">
        <f>19</f>
        <v>19</v>
      </c>
    </row>
    <row r="73" spans="1:24">
      <c r="A73" s="25" t="s">
        <v>1078</v>
      </c>
      <c r="B73" s="25" t="s">
        <v>204</v>
      </c>
      <c r="C73" s="25" t="s">
        <v>205</v>
      </c>
      <c r="D73" s="25" t="s">
        <v>206</v>
      </c>
      <c r="E73" s="26" t="s">
        <v>43</v>
      </c>
      <c r="F73" s="27" t="s">
        <v>43</v>
      </c>
      <c r="G73" s="28" t="s">
        <v>43</v>
      </c>
      <c r="H73" s="29"/>
      <c r="I73" s="29" t="s">
        <v>44</v>
      </c>
      <c r="J73" s="30">
        <v>1</v>
      </c>
      <c r="K73" s="31">
        <f>1933</f>
        <v>1933</v>
      </c>
      <c r="L73" s="32" t="s">
        <v>675</v>
      </c>
      <c r="M73" s="31">
        <f>1941</f>
        <v>1941</v>
      </c>
      <c r="N73" s="32" t="s">
        <v>876</v>
      </c>
      <c r="O73" s="31">
        <f>1880</f>
        <v>1880</v>
      </c>
      <c r="P73" s="32" t="s">
        <v>679</v>
      </c>
      <c r="Q73" s="31">
        <f>1907</f>
        <v>1907</v>
      </c>
      <c r="R73" s="32" t="s">
        <v>681</v>
      </c>
      <c r="S73" s="33">
        <f>1905.63</f>
        <v>1905.63</v>
      </c>
      <c r="T73" s="30">
        <f>2583075</f>
        <v>2583075</v>
      </c>
      <c r="U73" s="30">
        <f>1975055</f>
        <v>1975055</v>
      </c>
      <c r="V73" s="30">
        <f>4935640149</f>
        <v>4935640149</v>
      </c>
      <c r="W73" s="30">
        <f>3776156096</f>
        <v>3776156096</v>
      </c>
      <c r="X73" s="34">
        <f>19</f>
        <v>19</v>
      </c>
    </row>
    <row r="74" spans="1:24">
      <c r="A74" s="25" t="s">
        <v>1078</v>
      </c>
      <c r="B74" s="25" t="s">
        <v>207</v>
      </c>
      <c r="C74" s="25" t="s">
        <v>208</v>
      </c>
      <c r="D74" s="25" t="s">
        <v>209</v>
      </c>
      <c r="E74" s="26" t="s">
        <v>43</v>
      </c>
      <c r="F74" s="27" t="s">
        <v>43</v>
      </c>
      <c r="G74" s="28" t="s">
        <v>43</v>
      </c>
      <c r="H74" s="29"/>
      <c r="I74" s="29" t="s">
        <v>44</v>
      </c>
      <c r="J74" s="30">
        <v>1</v>
      </c>
      <c r="K74" s="31">
        <f>1915</f>
        <v>1915</v>
      </c>
      <c r="L74" s="32" t="s">
        <v>675</v>
      </c>
      <c r="M74" s="31">
        <f>1924</f>
        <v>1924</v>
      </c>
      <c r="N74" s="32" t="s">
        <v>675</v>
      </c>
      <c r="O74" s="31">
        <f>1880</f>
        <v>1880</v>
      </c>
      <c r="P74" s="32" t="s">
        <v>678</v>
      </c>
      <c r="Q74" s="31">
        <f>1896</f>
        <v>1896</v>
      </c>
      <c r="R74" s="32" t="s">
        <v>681</v>
      </c>
      <c r="S74" s="33">
        <f>1898.42</f>
        <v>1898.42</v>
      </c>
      <c r="T74" s="30">
        <f>737421</f>
        <v>737421</v>
      </c>
      <c r="U74" s="30">
        <f>6</f>
        <v>6</v>
      </c>
      <c r="V74" s="30">
        <f>1401232815</f>
        <v>1401232815</v>
      </c>
      <c r="W74" s="30">
        <f>11442</f>
        <v>11442</v>
      </c>
      <c r="X74" s="34">
        <f>19</f>
        <v>19</v>
      </c>
    </row>
    <row r="75" spans="1:24">
      <c r="A75" s="25" t="s">
        <v>1078</v>
      </c>
      <c r="B75" s="25" t="s">
        <v>210</v>
      </c>
      <c r="C75" s="25" t="s">
        <v>211</v>
      </c>
      <c r="D75" s="25" t="s">
        <v>212</v>
      </c>
      <c r="E75" s="26" t="s">
        <v>43</v>
      </c>
      <c r="F75" s="27" t="s">
        <v>43</v>
      </c>
      <c r="G75" s="28" t="s">
        <v>43</v>
      </c>
      <c r="H75" s="29"/>
      <c r="I75" s="29" t="s">
        <v>44</v>
      </c>
      <c r="J75" s="30">
        <v>1</v>
      </c>
      <c r="K75" s="31">
        <f>18295</f>
        <v>18295</v>
      </c>
      <c r="L75" s="32" t="s">
        <v>675</v>
      </c>
      <c r="M75" s="31">
        <f>20050</f>
        <v>20050</v>
      </c>
      <c r="N75" s="32" t="s">
        <v>778</v>
      </c>
      <c r="O75" s="31">
        <f>18155</f>
        <v>18155</v>
      </c>
      <c r="P75" s="32" t="s">
        <v>675</v>
      </c>
      <c r="Q75" s="31">
        <f>19910</f>
        <v>19910</v>
      </c>
      <c r="R75" s="32" t="s">
        <v>681</v>
      </c>
      <c r="S75" s="33">
        <f>19466.84</f>
        <v>19466.84</v>
      </c>
      <c r="T75" s="30">
        <f>3920</f>
        <v>3920</v>
      </c>
      <c r="U75" s="30">
        <f>550</f>
        <v>550</v>
      </c>
      <c r="V75" s="30">
        <f>75810050</f>
        <v>75810050</v>
      </c>
      <c r="W75" s="30">
        <f>9982995</f>
        <v>9982995</v>
      </c>
      <c r="X75" s="34">
        <f>19</f>
        <v>19</v>
      </c>
    </row>
    <row r="76" spans="1:24">
      <c r="A76" s="25" t="s">
        <v>1078</v>
      </c>
      <c r="B76" s="25" t="s">
        <v>213</v>
      </c>
      <c r="C76" s="25" t="s">
        <v>214</v>
      </c>
      <c r="D76" s="25" t="s">
        <v>215</v>
      </c>
      <c r="E76" s="26" t="s">
        <v>43</v>
      </c>
      <c r="F76" s="27" t="s">
        <v>43</v>
      </c>
      <c r="G76" s="28" t="s">
        <v>43</v>
      </c>
      <c r="H76" s="29"/>
      <c r="I76" s="29" t="s">
        <v>44</v>
      </c>
      <c r="J76" s="30">
        <v>1</v>
      </c>
      <c r="K76" s="31">
        <f>9334</f>
        <v>9334</v>
      </c>
      <c r="L76" s="32" t="s">
        <v>675</v>
      </c>
      <c r="M76" s="31">
        <f>9700</f>
        <v>9700</v>
      </c>
      <c r="N76" s="32" t="s">
        <v>874</v>
      </c>
      <c r="O76" s="31">
        <f>9270</f>
        <v>9270</v>
      </c>
      <c r="P76" s="32" t="s">
        <v>677</v>
      </c>
      <c r="Q76" s="31">
        <f>9474</f>
        <v>9474</v>
      </c>
      <c r="R76" s="32" t="s">
        <v>681</v>
      </c>
      <c r="S76" s="33">
        <f>9462</f>
        <v>9462</v>
      </c>
      <c r="T76" s="30">
        <f>6551</f>
        <v>6551</v>
      </c>
      <c r="U76" s="30">
        <f>3</f>
        <v>3</v>
      </c>
      <c r="V76" s="30">
        <f>62048023</f>
        <v>62048023</v>
      </c>
      <c r="W76" s="30">
        <f>28243</f>
        <v>28243</v>
      </c>
      <c r="X76" s="34">
        <f>19</f>
        <v>19</v>
      </c>
    </row>
    <row r="77" spans="1:24">
      <c r="A77" s="25" t="s">
        <v>1078</v>
      </c>
      <c r="B77" s="25" t="s">
        <v>216</v>
      </c>
      <c r="C77" s="25" t="s">
        <v>217</v>
      </c>
      <c r="D77" s="25" t="s">
        <v>218</v>
      </c>
      <c r="E77" s="26" t="s">
        <v>43</v>
      </c>
      <c r="F77" s="27" t="s">
        <v>43</v>
      </c>
      <c r="G77" s="28" t="s">
        <v>43</v>
      </c>
      <c r="H77" s="29"/>
      <c r="I77" s="29" t="s">
        <v>44</v>
      </c>
      <c r="J77" s="30">
        <v>1</v>
      </c>
      <c r="K77" s="31">
        <f>8932</f>
        <v>8932</v>
      </c>
      <c r="L77" s="32" t="s">
        <v>675</v>
      </c>
      <c r="M77" s="31">
        <f>9144</f>
        <v>9144</v>
      </c>
      <c r="N77" s="32" t="s">
        <v>683</v>
      </c>
      <c r="O77" s="31">
        <f>8893</f>
        <v>8893</v>
      </c>
      <c r="P77" s="32" t="s">
        <v>876</v>
      </c>
      <c r="Q77" s="31">
        <f>9135</f>
        <v>9135</v>
      </c>
      <c r="R77" s="32" t="s">
        <v>681</v>
      </c>
      <c r="S77" s="33">
        <f>9059.68</f>
        <v>9059.68</v>
      </c>
      <c r="T77" s="30">
        <f>2137730</f>
        <v>2137730</v>
      </c>
      <c r="U77" s="30">
        <f>74075</f>
        <v>74075</v>
      </c>
      <c r="V77" s="30">
        <f>19344470634</f>
        <v>19344470634</v>
      </c>
      <c r="W77" s="30">
        <f>673787606</f>
        <v>673787606</v>
      </c>
      <c r="X77" s="34">
        <f>19</f>
        <v>19</v>
      </c>
    </row>
    <row r="78" spans="1:24">
      <c r="A78" s="25" t="s">
        <v>1078</v>
      </c>
      <c r="B78" s="25" t="s">
        <v>219</v>
      </c>
      <c r="C78" s="25" t="s">
        <v>220</v>
      </c>
      <c r="D78" s="25" t="s">
        <v>221</v>
      </c>
      <c r="E78" s="26" t="s">
        <v>43</v>
      </c>
      <c r="F78" s="27" t="s">
        <v>43</v>
      </c>
      <c r="G78" s="28" t="s">
        <v>43</v>
      </c>
      <c r="H78" s="29"/>
      <c r="I78" s="29" t="s">
        <v>44</v>
      </c>
      <c r="J78" s="30">
        <v>1</v>
      </c>
      <c r="K78" s="31">
        <f>4050</f>
        <v>4050</v>
      </c>
      <c r="L78" s="32" t="s">
        <v>675</v>
      </c>
      <c r="M78" s="31">
        <f>4060</f>
        <v>4060</v>
      </c>
      <c r="N78" s="32" t="s">
        <v>675</v>
      </c>
      <c r="O78" s="31">
        <f>3925</f>
        <v>3925</v>
      </c>
      <c r="P78" s="32" t="s">
        <v>875</v>
      </c>
      <c r="Q78" s="31">
        <f>4020</f>
        <v>4020</v>
      </c>
      <c r="R78" s="32" t="s">
        <v>681</v>
      </c>
      <c r="S78" s="33">
        <f>3983.16</f>
        <v>3983.16</v>
      </c>
      <c r="T78" s="30">
        <f>586176</f>
        <v>586176</v>
      </c>
      <c r="U78" s="30">
        <f>161</f>
        <v>161</v>
      </c>
      <c r="V78" s="30">
        <f>2331134420</f>
        <v>2331134420</v>
      </c>
      <c r="W78" s="30">
        <f>617930</f>
        <v>617930</v>
      </c>
      <c r="X78" s="34">
        <f>19</f>
        <v>19</v>
      </c>
    </row>
    <row r="79" spans="1:24">
      <c r="A79" s="25" t="s">
        <v>1078</v>
      </c>
      <c r="B79" s="25" t="s">
        <v>222</v>
      </c>
      <c r="C79" s="25" t="s">
        <v>223</v>
      </c>
      <c r="D79" s="25" t="s">
        <v>224</v>
      </c>
      <c r="E79" s="26" t="s">
        <v>43</v>
      </c>
      <c r="F79" s="27" t="s">
        <v>43</v>
      </c>
      <c r="G79" s="28" t="s">
        <v>43</v>
      </c>
      <c r="H79" s="29"/>
      <c r="I79" s="29" t="s">
        <v>44</v>
      </c>
      <c r="J79" s="30">
        <v>1</v>
      </c>
      <c r="K79" s="31">
        <f>9666</f>
        <v>9666</v>
      </c>
      <c r="L79" s="32" t="s">
        <v>675</v>
      </c>
      <c r="M79" s="31">
        <f>9949</f>
        <v>9949</v>
      </c>
      <c r="N79" s="32" t="s">
        <v>777</v>
      </c>
      <c r="O79" s="31">
        <f>9607</f>
        <v>9607</v>
      </c>
      <c r="P79" s="32" t="s">
        <v>675</v>
      </c>
      <c r="Q79" s="31">
        <f>9919</f>
        <v>9919</v>
      </c>
      <c r="R79" s="32" t="s">
        <v>681</v>
      </c>
      <c r="S79" s="33">
        <f>9806.58</f>
        <v>9806.58</v>
      </c>
      <c r="T79" s="30">
        <f>133187</f>
        <v>133187</v>
      </c>
      <c r="U79" s="30">
        <f>18</f>
        <v>18</v>
      </c>
      <c r="V79" s="30">
        <f>1302805133</f>
        <v>1302805133</v>
      </c>
      <c r="W79" s="30">
        <f>176183</f>
        <v>176183</v>
      </c>
      <c r="X79" s="34">
        <f>19</f>
        <v>19</v>
      </c>
    </row>
    <row r="80" spans="1:24">
      <c r="A80" s="25" t="s">
        <v>1078</v>
      </c>
      <c r="B80" s="25" t="s">
        <v>225</v>
      </c>
      <c r="C80" s="25" t="s">
        <v>226</v>
      </c>
      <c r="D80" s="25" t="s">
        <v>227</v>
      </c>
      <c r="E80" s="26" t="s">
        <v>43</v>
      </c>
      <c r="F80" s="27" t="s">
        <v>43</v>
      </c>
      <c r="G80" s="28" t="s">
        <v>43</v>
      </c>
      <c r="H80" s="29"/>
      <c r="I80" s="29" t="s">
        <v>44</v>
      </c>
      <c r="J80" s="30">
        <v>1</v>
      </c>
      <c r="K80" s="31">
        <f>44700</f>
        <v>44700</v>
      </c>
      <c r="L80" s="32" t="s">
        <v>675</v>
      </c>
      <c r="M80" s="31">
        <f>44850</f>
        <v>44850</v>
      </c>
      <c r="N80" s="32" t="s">
        <v>684</v>
      </c>
      <c r="O80" s="31">
        <f>42080</f>
        <v>42080</v>
      </c>
      <c r="P80" s="32" t="s">
        <v>678</v>
      </c>
      <c r="Q80" s="31">
        <f>42710</f>
        <v>42710</v>
      </c>
      <c r="R80" s="32" t="s">
        <v>681</v>
      </c>
      <c r="S80" s="33">
        <f>43343.16</f>
        <v>43343.16</v>
      </c>
      <c r="T80" s="30">
        <f>16283</f>
        <v>16283</v>
      </c>
      <c r="U80" s="30">
        <f>43</f>
        <v>43</v>
      </c>
      <c r="V80" s="30">
        <f>707588370</f>
        <v>707588370</v>
      </c>
      <c r="W80" s="30">
        <f>1853410</f>
        <v>1853410</v>
      </c>
      <c r="X80" s="34">
        <f>19</f>
        <v>19</v>
      </c>
    </row>
    <row r="81" spans="1:24">
      <c r="A81" s="25" t="s">
        <v>1078</v>
      </c>
      <c r="B81" s="25" t="s">
        <v>228</v>
      </c>
      <c r="C81" s="25" t="s">
        <v>779</v>
      </c>
      <c r="D81" s="25" t="s">
        <v>780</v>
      </c>
      <c r="E81" s="26" t="s">
        <v>43</v>
      </c>
      <c r="F81" s="27" t="s">
        <v>43</v>
      </c>
      <c r="G81" s="28" t="s">
        <v>43</v>
      </c>
      <c r="H81" s="29"/>
      <c r="I81" s="29" t="s">
        <v>44</v>
      </c>
      <c r="J81" s="30">
        <v>1</v>
      </c>
      <c r="K81" s="31">
        <f>23735</f>
        <v>23735</v>
      </c>
      <c r="L81" s="32" t="s">
        <v>675</v>
      </c>
      <c r="M81" s="31">
        <f>26300</f>
        <v>26300</v>
      </c>
      <c r="N81" s="32" t="s">
        <v>683</v>
      </c>
      <c r="O81" s="31">
        <f>23685</f>
        <v>23685</v>
      </c>
      <c r="P81" s="32" t="s">
        <v>675</v>
      </c>
      <c r="Q81" s="31">
        <f>25955</f>
        <v>25955</v>
      </c>
      <c r="R81" s="32" t="s">
        <v>681</v>
      </c>
      <c r="S81" s="33">
        <f>25276.32</f>
        <v>25276.32</v>
      </c>
      <c r="T81" s="30">
        <f>1247268</f>
        <v>1247268</v>
      </c>
      <c r="U81" s="30">
        <f>12702</f>
        <v>12702</v>
      </c>
      <c r="V81" s="30">
        <f>31536222618</f>
        <v>31536222618</v>
      </c>
      <c r="W81" s="30">
        <f>311320198</f>
        <v>311320198</v>
      </c>
      <c r="X81" s="34">
        <f>19</f>
        <v>19</v>
      </c>
    </row>
    <row r="82" spans="1:24">
      <c r="A82" s="25" t="s">
        <v>1078</v>
      </c>
      <c r="B82" s="25" t="s">
        <v>229</v>
      </c>
      <c r="C82" s="25" t="s">
        <v>781</v>
      </c>
      <c r="D82" s="25" t="s">
        <v>782</v>
      </c>
      <c r="E82" s="26" t="s">
        <v>43</v>
      </c>
      <c r="F82" s="27" t="s">
        <v>43</v>
      </c>
      <c r="G82" s="28" t="s">
        <v>43</v>
      </c>
      <c r="H82" s="29"/>
      <c r="I82" s="29" t="s">
        <v>44</v>
      </c>
      <c r="J82" s="30">
        <v>1</v>
      </c>
      <c r="K82" s="31">
        <f>52250</f>
        <v>52250</v>
      </c>
      <c r="L82" s="32" t="s">
        <v>675</v>
      </c>
      <c r="M82" s="31">
        <f>55490</f>
        <v>55490</v>
      </c>
      <c r="N82" s="32" t="s">
        <v>681</v>
      </c>
      <c r="O82" s="31">
        <f>52160</f>
        <v>52160</v>
      </c>
      <c r="P82" s="32" t="s">
        <v>675</v>
      </c>
      <c r="Q82" s="31">
        <f>55470</f>
        <v>55470</v>
      </c>
      <c r="R82" s="32" t="s">
        <v>681</v>
      </c>
      <c r="S82" s="33">
        <f>54022.11</f>
        <v>54022.11</v>
      </c>
      <c r="T82" s="30">
        <f>79357</f>
        <v>79357</v>
      </c>
      <c r="U82" s="30">
        <f>18101</f>
        <v>18101</v>
      </c>
      <c r="V82" s="30">
        <f>4270231962</f>
        <v>4270231962</v>
      </c>
      <c r="W82" s="30">
        <f>972715382</f>
        <v>972715382</v>
      </c>
      <c r="X82" s="34">
        <f>19</f>
        <v>19</v>
      </c>
    </row>
    <row r="83" spans="1:24">
      <c r="A83" s="25" t="s">
        <v>1078</v>
      </c>
      <c r="B83" s="25" t="s">
        <v>230</v>
      </c>
      <c r="C83" s="25" t="s">
        <v>231</v>
      </c>
      <c r="D83" s="25" t="s">
        <v>232</v>
      </c>
      <c r="E83" s="26" t="s">
        <v>43</v>
      </c>
      <c r="F83" s="27" t="s">
        <v>43</v>
      </c>
      <c r="G83" s="28" t="s">
        <v>43</v>
      </c>
      <c r="H83" s="29"/>
      <c r="I83" s="29" t="s">
        <v>44</v>
      </c>
      <c r="J83" s="30">
        <v>10</v>
      </c>
      <c r="K83" s="31">
        <f>7389</f>
        <v>7389</v>
      </c>
      <c r="L83" s="32" t="s">
        <v>675</v>
      </c>
      <c r="M83" s="31">
        <f>7880</f>
        <v>7880</v>
      </c>
      <c r="N83" s="32" t="s">
        <v>777</v>
      </c>
      <c r="O83" s="31">
        <f>7374</f>
        <v>7374</v>
      </c>
      <c r="P83" s="32" t="s">
        <v>675</v>
      </c>
      <c r="Q83" s="31">
        <f>7860</f>
        <v>7860</v>
      </c>
      <c r="R83" s="32" t="s">
        <v>681</v>
      </c>
      <c r="S83" s="33">
        <f>7686.21</f>
        <v>7686.21</v>
      </c>
      <c r="T83" s="30">
        <f>1936000</f>
        <v>1936000</v>
      </c>
      <c r="U83" s="30">
        <f>170370</f>
        <v>170370</v>
      </c>
      <c r="V83" s="30">
        <f>14831913399</f>
        <v>14831913399</v>
      </c>
      <c r="W83" s="30">
        <f>1271069939</f>
        <v>1271069939</v>
      </c>
      <c r="X83" s="34">
        <f>19</f>
        <v>19</v>
      </c>
    </row>
    <row r="84" spans="1:24">
      <c r="A84" s="25" t="s">
        <v>1078</v>
      </c>
      <c r="B84" s="25" t="s">
        <v>233</v>
      </c>
      <c r="C84" s="25" t="s">
        <v>234</v>
      </c>
      <c r="D84" s="25" t="s">
        <v>235</v>
      </c>
      <c r="E84" s="26" t="s">
        <v>43</v>
      </c>
      <c r="F84" s="27" t="s">
        <v>43</v>
      </c>
      <c r="G84" s="28" t="s">
        <v>43</v>
      </c>
      <c r="H84" s="29"/>
      <c r="I84" s="29" t="s">
        <v>44</v>
      </c>
      <c r="J84" s="30">
        <v>10</v>
      </c>
      <c r="K84" s="31">
        <f>4612</f>
        <v>4612</v>
      </c>
      <c r="L84" s="32" t="s">
        <v>675</v>
      </c>
      <c r="M84" s="31">
        <f>4927</f>
        <v>4927</v>
      </c>
      <c r="N84" s="32" t="s">
        <v>777</v>
      </c>
      <c r="O84" s="31">
        <f>4605</f>
        <v>4605</v>
      </c>
      <c r="P84" s="32" t="s">
        <v>675</v>
      </c>
      <c r="Q84" s="31">
        <f>4921</f>
        <v>4921</v>
      </c>
      <c r="R84" s="32" t="s">
        <v>681</v>
      </c>
      <c r="S84" s="33">
        <f>4795.32</f>
        <v>4795.32</v>
      </c>
      <c r="T84" s="30">
        <f>122210</f>
        <v>122210</v>
      </c>
      <c r="U84" s="30" t="str">
        <f>"－"</f>
        <v>－</v>
      </c>
      <c r="V84" s="30">
        <f>582388530</f>
        <v>582388530</v>
      </c>
      <c r="W84" s="30" t="str">
        <f>"－"</f>
        <v>－</v>
      </c>
      <c r="X84" s="34">
        <f>19</f>
        <v>19</v>
      </c>
    </row>
    <row r="85" spans="1:24">
      <c r="A85" s="25" t="s">
        <v>1078</v>
      </c>
      <c r="B85" s="25" t="s">
        <v>236</v>
      </c>
      <c r="C85" s="25" t="s">
        <v>854</v>
      </c>
      <c r="D85" s="25" t="s">
        <v>855</v>
      </c>
      <c r="E85" s="26" t="s">
        <v>43</v>
      </c>
      <c r="F85" s="27" t="s">
        <v>43</v>
      </c>
      <c r="G85" s="28" t="s">
        <v>43</v>
      </c>
      <c r="H85" s="29"/>
      <c r="I85" s="29" t="s">
        <v>44</v>
      </c>
      <c r="J85" s="30">
        <v>10</v>
      </c>
      <c r="K85" s="31">
        <f>4846</f>
        <v>4846</v>
      </c>
      <c r="L85" s="32" t="s">
        <v>675</v>
      </c>
      <c r="M85" s="31">
        <f>5100</f>
        <v>5100</v>
      </c>
      <c r="N85" s="32" t="s">
        <v>875</v>
      </c>
      <c r="O85" s="31">
        <f>4846</f>
        <v>4846</v>
      </c>
      <c r="P85" s="32" t="s">
        <v>675</v>
      </c>
      <c r="Q85" s="31">
        <f>5007</f>
        <v>5007</v>
      </c>
      <c r="R85" s="32" t="s">
        <v>681</v>
      </c>
      <c r="S85" s="33">
        <f>4993.74</f>
        <v>4993.74</v>
      </c>
      <c r="T85" s="30">
        <f>9970</f>
        <v>9970</v>
      </c>
      <c r="U85" s="30" t="str">
        <f>"－"</f>
        <v>－</v>
      </c>
      <c r="V85" s="30">
        <f>49788070</f>
        <v>49788070</v>
      </c>
      <c r="W85" s="30" t="str">
        <f>"－"</f>
        <v>－</v>
      </c>
      <c r="X85" s="34">
        <f>19</f>
        <v>19</v>
      </c>
    </row>
    <row r="86" spans="1:24">
      <c r="A86" s="25" t="s">
        <v>1078</v>
      </c>
      <c r="B86" s="25" t="s">
        <v>237</v>
      </c>
      <c r="C86" s="25" t="s">
        <v>238</v>
      </c>
      <c r="D86" s="25" t="s">
        <v>239</v>
      </c>
      <c r="E86" s="26" t="s">
        <v>43</v>
      </c>
      <c r="F86" s="27" t="s">
        <v>43</v>
      </c>
      <c r="G86" s="28" t="s">
        <v>43</v>
      </c>
      <c r="H86" s="29" t="s">
        <v>761</v>
      </c>
      <c r="I86" s="29"/>
      <c r="J86" s="30">
        <v>1</v>
      </c>
      <c r="K86" s="31">
        <f>416</f>
        <v>416</v>
      </c>
      <c r="L86" s="32" t="s">
        <v>675</v>
      </c>
      <c r="M86" s="31">
        <f>426</f>
        <v>426</v>
      </c>
      <c r="N86" s="32" t="s">
        <v>678</v>
      </c>
      <c r="O86" s="31">
        <f>378</f>
        <v>378</v>
      </c>
      <c r="P86" s="32" t="s">
        <v>677</v>
      </c>
      <c r="Q86" s="31">
        <f>388</f>
        <v>388</v>
      </c>
      <c r="R86" s="32" t="s">
        <v>681</v>
      </c>
      <c r="S86" s="33">
        <f>397.47</f>
        <v>397.47</v>
      </c>
      <c r="T86" s="30">
        <f>23048667</f>
        <v>23048667</v>
      </c>
      <c r="U86" s="30">
        <f>13016</f>
        <v>13016</v>
      </c>
      <c r="V86" s="30">
        <f>9165409148</f>
        <v>9165409148</v>
      </c>
      <c r="W86" s="30">
        <f>5139045</f>
        <v>5139045</v>
      </c>
      <c r="X86" s="34">
        <f>19</f>
        <v>19</v>
      </c>
    </row>
    <row r="87" spans="1:24">
      <c r="A87" s="25" t="s">
        <v>1078</v>
      </c>
      <c r="B87" s="25" t="s">
        <v>241</v>
      </c>
      <c r="C87" s="25" t="s">
        <v>242</v>
      </c>
      <c r="D87" s="25" t="s">
        <v>243</v>
      </c>
      <c r="E87" s="26" t="s">
        <v>43</v>
      </c>
      <c r="F87" s="27" t="s">
        <v>43</v>
      </c>
      <c r="G87" s="28" t="s">
        <v>43</v>
      </c>
      <c r="H87" s="29"/>
      <c r="I87" s="29" t="s">
        <v>44</v>
      </c>
      <c r="J87" s="30">
        <v>10</v>
      </c>
      <c r="K87" s="31">
        <f>3877</f>
        <v>3877</v>
      </c>
      <c r="L87" s="32" t="s">
        <v>675</v>
      </c>
      <c r="M87" s="31">
        <f>4055</f>
        <v>4055</v>
      </c>
      <c r="N87" s="32" t="s">
        <v>777</v>
      </c>
      <c r="O87" s="31">
        <f>3860</f>
        <v>3860</v>
      </c>
      <c r="P87" s="32" t="s">
        <v>675</v>
      </c>
      <c r="Q87" s="31">
        <f>4039</f>
        <v>4039</v>
      </c>
      <c r="R87" s="32" t="s">
        <v>681</v>
      </c>
      <c r="S87" s="33">
        <f>3977.37</f>
        <v>3977.37</v>
      </c>
      <c r="T87" s="30">
        <f>285290</f>
        <v>285290</v>
      </c>
      <c r="U87" s="30">
        <f>40</f>
        <v>40</v>
      </c>
      <c r="V87" s="30">
        <f>1129427990</f>
        <v>1129427990</v>
      </c>
      <c r="W87" s="30">
        <f>157820</f>
        <v>157820</v>
      </c>
      <c r="X87" s="34">
        <f>19</f>
        <v>19</v>
      </c>
    </row>
    <row r="88" spans="1:24">
      <c r="A88" s="25" t="s">
        <v>1078</v>
      </c>
      <c r="B88" s="25" t="s">
        <v>244</v>
      </c>
      <c r="C88" s="25" t="s">
        <v>971</v>
      </c>
      <c r="D88" s="25" t="s">
        <v>245</v>
      </c>
      <c r="E88" s="26" t="s">
        <v>43</v>
      </c>
      <c r="F88" s="27" t="s">
        <v>43</v>
      </c>
      <c r="G88" s="28" t="s">
        <v>43</v>
      </c>
      <c r="H88" s="29"/>
      <c r="I88" s="29" t="s">
        <v>44</v>
      </c>
      <c r="J88" s="30">
        <v>10</v>
      </c>
      <c r="K88" s="31">
        <f>1873.5</f>
        <v>1873.5</v>
      </c>
      <c r="L88" s="32" t="s">
        <v>675</v>
      </c>
      <c r="M88" s="31">
        <f>1949.5</f>
        <v>1949.5</v>
      </c>
      <c r="N88" s="32" t="s">
        <v>681</v>
      </c>
      <c r="O88" s="31">
        <f>1832.5</f>
        <v>1832.5</v>
      </c>
      <c r="P88" s="32" t="s">
        <v>678</v>
      </c>
      <c r="Q88" s="31">
        <f>1949.5</f>
        <v>1949.5</v>
      </c>
      <c r="R88" s="32" t="s">
        <v>681</v>
      </c>
      <c r="S88" s="33">
        <f>1886.29</f>
        <v>1886.29</v>
      </c>
      <c r="T88" s="30">
        <f>142530</f>
        <v>142530</v>
      </c>
      <c r="U88" s="30">
        <f>670</f>
        <v>670</v>
      </c>
      <c r="V88" s="30">
        <f>268913060</f>
        <v>268913060</v>
      </c>
      <c r="W88" s="30">
        <f>1258050</f>
        <v>1258050</v>
      </c>
      <c r="X88" s="34">
        <f>19</f>
        <v>19</v>
      </c>
    </row>
    <row r="89" spans="1:24">
      <c r="A89" s="25" t="s">
        <v>1078</v>
      </c>
      <c r="B89" s="25" t="s">
        <v>246</v>
      </c>
      <c r="C89" s="25" t="s">
        <v>247</v>
      </c>
      <c r="D89" s="25" t="s">
        <v>248</v>
      </c>
      <c r="E89" s="26" t="s">
        <v>43</v>
      </c>
      <c r="F89" s="27" t="s">
        <v>43</v>
      </c>
      <c r="G89" s="28" t="s">
        <v>43</v>
      </c>
      <c r="H89" s="29"/>
      <c r="I89" s="29" t="s">
        <v>44</v>
      </c>
      <c r="J89" s="30">
        <v>1</v>
      </c>
      <c r="K89" s="31">
        <f>67110</f>
        <v>67110</v>
      </c>
      <c r="L89" s="32" t="s">
        <v>675</v>
      </c>
      <c r="M89" s="31">
        <f>72440</f>
        <v>72440</v>
      </c>
      <c r="N89" s="32" t="s">
        <v>777</v>
      </c>
      <c r="O89" s="31">
        <f>66990</f>
        <v>66990</v>
      </c>
      <c r="P89" s="32" t="s">
        <v>675</v>
      </c>
      <c r="Q89" s="31">
        <f>72260</f>
        <v>72260</v>
      </c>
      <c r="R89" s="32" t="s">
        <v>681</v>
      </c>
      <c r="S89" s="33">
        <f>70266.32</f>
        <v>70266.320000000007</v>
      </c>
      <c r="T89" s="30">
        <f>67931</f>
        <v>67931</v>
      </c>
      <c r="U89" s="30" t="str">
        <f>"－"</f>
        <v>－</v>
      </c>
      <c r="V89" s="30">
        <f>4760091450</f>
        <v>4760091450</v>
      </c>
      <c r="W89" s="30" t="str">
        <f>"－"</f>
        <v>－</v>
      </c>
      <c r="X89" s="34">
        <f>19</f>
        <v>19</v>
      </c>
    </row>
    <row r="90" spans="1:24">
      <c r="A90" s="25" t="s">
        <v>1078</v>
      </c>
      <c r="B90" s="25" t="s">
        <v>249</v>
      </c>
      <c r="C90" s="25" t="s">
        <v>250</v>
      </c>
      <c r="D90" s="25" t="s">
        <v>251</v>
      </c>
      <c r="E90" s="26" t="s">
        <v>43</v>
      </c>
      <c r="F90" s="27" t="s">
        <v>43</v>
      </c>
      <c r="G90" s="28" t="s">
        <v>43</v>
      </c>
      <c r="H90" s="29"/>
      <c r="I90" s="29" t="s">
        <v>44</v>
      </c>
      <c r="J90" s="30">
        <v>1</v>
      </c>
      <c r="K90" s="31">
        <f>3300</f>
        <v>3300</v>
      </c>
      <c r="L90" s="32" t="s">
        <v>675</v>
      </c>
      <c r="M90" s="31">
        <f>3330</f>
        <v>3330</v>
      </c>
      <c r="N90" s="32" t="s">
        <v>760</v>
      </c>
      <c r="O90" s="31">
        <f>3245</f>
        <v>3245</v>
      </c>
      <c r="P90" s="32" t="s">
        <v>683</v>
      </c>
      <c r="Q90" s="31">
        <f>3290</f>
        <v>3290</v>
      </c>
      <c r="R90" s="32" t="s">
        <v>681</v>
      </c>
      <c r="S90" s="33">
        <f>3290.79</f>
        <v>3290.79</v>
      </c>
      <c r="T90" s="30">
        <f>8279</f>
        <v>8279</v>
      </c>
      <c r="U90" s="30" t="str">
        <f>"－"</f>
        <v>－</v>
      </c>
      <c r="V90" s="30">
        <f>27169940</f>
        <v>27169940</v>
      </c>
      <c r="W90" s="30" t="str">
        <f>"－"</f>
        <v>－</v>
      </c>
      <c r="X90" s="34">
        <f>19</f>
        <v>19</v>
      </c>
    </row>
    <row r="91" spans="1:24">
      <c r="A91" s="25" t="s">
        <v>1078</v>
      </c>
      <c r="B91" s="25" t="s">
        <v>252</v>
      </c>
      <c r="C91" s="25" t="s">
        <v>253</v>
      </c>
      <c r="D91" s="25" t="s">
        <v>254</v>
      </c>
      <c r="E91" s="26" t="s">
        <v>43</v>
      </c>
      <c r="F91" s="27" t="s">
        <v>43</v>
      </c>
      <c r="G91" s="28" t="s">
        <v>43</v>
      </c>
      <c r="H91" s="29"/>
      <c r="I91" s="29" t="s">
        <v>44</v>
      </c>
      <c r="J91" s="30">
        <v>1</v>
      </c>
      <c r="K91" s="31">
        <f>4500</f>
        <v>4500</v>
      </c>
      <c r="L91" s="32" t="s">
        <v>675</v>
      </c>
      <c r="M91" s="31">
        <f>4570</f>
        <v>4570</v>
      </c>
      <c r="N91" s="32" t="s">
        <v>777</v>
      </c>
      <c r="O91" s="31">
        <f>4450</f>
        <v>4450</v>
      </c>
      <c r="P91" s="32" t="s">
        <v>675</v>
      </c>
      <c r="Q91" s="31">
        <f>4565</f>
        <v>4565</v>
      </c>
      <c r="R91" s="32" t="s">
        <v>681</v>
      </c>
      <c r="S91" s="33">
        <f>4520.26</f>
        <v>4520.26</v>
      </c>
      <c r="T91" s="30">
        <f>5737</f>
        <v>5737</v>
      </c>
      <c r="U91" s="30" t="str">
        <f>"－"</f>
        <v>－</v>
      </c>
      <c r="V91" s="30">
        <f>25890790</f>
        <v>25890790</v>
      </c>
      <c r="W91" s="30" t="str">
        <f>"－"</f>
        <v>－</v>
      </c>
      <c r="X91" s="34">
        <f>19</f>
        <v>19</v>
      </c>
    </row>
    <row r="92" spans="1:24">
      <c r="A92" s="25" t="s">
        <v>1078</v>
      </c>
      <c r="B92" s="25" t="s">
        <v>255</v>
      </c>
      <c r="C92" s="25" t="s">
        <v>856</v>
      </c>
      <c r="D92" s="25" t="s">
        <v>857</v>
      </c>
      <c r="E92" s="26" t="s">
        <v>43</v>
      </c>
      <c r="F92" s="27" t="s">
        <v>43</v>
      </c>
      <c r="G92" s="28" t="s">
        <v>43</v>
      </c>
      <c r="H92" s="29"/>
      <c r="I92" s="29" t="s">
        <v>44</v>
      </c>
      <c r="J92" s="30">
        <v>1</v>
      </c>
      <c r="K92" s="31">
        <f>2501</f>
        <v>2501</v>
      </c>
      <c r="L92" s="32" t="s">
        <v>675</v>
      </c>
      <c r="M92" s="31">
        <f>2665</f>
        <v>2665</v>
      </c>
      <c r="N92" s="32" t="s">
        <v>760</v>
      </c>
      <c r="O92" s="31">
        <f>2480</f>
        <v>2480</v>
      </c>
      <c r="P92" s="32" t="s">
        <v>678</v>
      </c>
      <c r="Q92" s="31">
        <f>2577</f>
        <v>2577</v>
      </c>
      <c r="R92" s="32" t="s">
        <v>681</v>
      </c>
      <c r="S92" s="33">
        <f>2566.68</f>
        <v>2566.6799999999998</v>
      </c>
      <c r="T92" s="30">
        <f>1711203</f>
        <v>1711203</v>
      </c>
      <c r="U92" s="30" t="str">
        <f>"－"</f>
        <v>－</v>
      </c>
      <c r="V92" s="30">
        <f>4390267635</f>
        <v>4390267635</v>
      </c>
      <c r="W92" s="30" t="str">
        <f>"－"</f>
        <v>－</v>
      </c>
      <c r="X92" s="34">
        <f>19</f>
        <v>19</v>
      </c>
    </row>
    <row r="93" spans="1:24">
      <c r="A93" s="25" t="s">
        <v>1078</v>
      </c>
      <c r="B93" s="25" t="s">
        <v>256</v>
      </c>
      <c r="C93" s="25" t="s">
        <v>257</v>
      </c>
      <c r="D93" s="25" t="s">
        <v>258</v>
      </c>
      <c r="E93" s="26" t="s">
        <v>43</v>
      </c>
      <c r="F93" s="27" t="s">
        <v>43</v>
      </c>
      <c r="G93" s="28" t="s">
        <v>43</v>
      </c>
      <c r="H93" s="29"/>
      <c r="I93" s="29" t="s">
        <v>44</v>
      </c>
      <c r="J93" s="30">
        <v>1</v>
      </c>
      <c r="K93" s="31">
        <f>48160</f>
        <v>48160</v>
      </c>
      <c r="L93" s="32" t="s">
        <v>675</v>
      </c>
      <c r="M93" s="31">
        <f>49160</f>
        <v>49160</v>
      </c>
      <c r="N93" s="32" t="s">
        <v>678</v>
      </c>
      <c r="O93" s="31">
        <f>47830</f>
        <v>47830</v>
      </c>
      <c r="P93" s="32" t="s">
        <v>876</v>
      </c>
      <c r="Q93" s="31">
        <f>48690</f>
        <v>48690</v>
      </c>
      <c r="R93" s="32" t="s">
        <v>681</v>
      </c>
      <c r="S93" s="33">
        <f>48653.68</f>
        <v>48653.68</v>
      </c>
      <c r="T93" s="30">
        <f>25854</f>
        <v>25854</v>
      </c>
      <c r="U93" s="30">
        <f>4983</f>
        <v>4983</v>
      </c>
      <c r="V93" s="30">
        <f>1257338277</f>
        <v>1257338277</v>
      </c>
      <c r="W93" s="30">
        <f>242984287</f>
        <v>242984287</v>
      </c>
      <c r="X93" s="34">
        <f>19</f>
        <v>19</v>
      </c>
    </row>
    <row r="94" spans="1:24">
      <c r="A94" s="25" t="s">
        <v>1078</v>
      </c>
      <c r="B94" s="25" t="s">
        <v>259</v>
      </c>
      <c r="C94" s="25" t="s">
        <v>260</v>
      </c>
      <c r="D94" s="25" t="s">
        <v>261</v>
      </c>
      <c r="E94" s="26" t="s">
        <v>43</v>
      </c>
      <c r="F94" s="27" t="s">
        <v>43</v>
      </c>
      <c r="G94" s="28" t="s">
        <v>43</v>
      </c>
      <c r="H94" s="29"/>
      <c r="I94" s="29" t="s">
        <v>44</v>
      </c>
      <c r="J94" s="30">
        <v>10</v>
      </c>
      <c r="K94" s="31">
        <f>36100</f>
        <v>36100</v>
      </c>
      <c r="L94" s="32" t="s">
        <v>675</v>
      </c>
      <c r="M94" s="31">
        <f>42800</f>
        <v>42800</v>
      </c>
      <c r="N94" s="32" t="s">
        <v>778</v>
      </c>
      <c r="O94" s="31">
        <f>35480</f>
        <v>35480</v>
      </c>
      <c r="P94" s="32" t="s">
        <v>675</v>
      </c>
      <c r="Q94" s="31">
        <f>42290</f>
        <v>42290</v>
      </c>
      <c r="R94" s="32" t="s">
        <v>681</v>
      </c>
      <c r="S94" s="33">
        <f>40466.84</f>
        <v>40466.839999999997</v>
      </c>
      <c r="T94" s="30">
        <f>2230390</f>
        <v>2230390</v>
      </c>
      <c r="U94" s="30">
        <f>9460</f>
        <v>9460</v>
      </c>
      <c r="V94" s="30">
        <f>89770069562</f>
        <v>89770069562</v>
      </c>
      <c r="W94" s="30">
        <f>392453362</f>
        <v>392453362</v>
      </c>
      <c r="X94" s="34">
        <f>19</f>
        <v>19</v>
      </c>
    </row>
    <row r="95" spans="1:24">
      <c r="A95" s="25" t="s">
        <v>1078</v>
      </c>
      <c r="B95" s="25" t="s">
        <v>262</v>
      </c>
      <c r="C95" s="25" t="s">
        <v>263</v>
      </c>
      <c r="D95" s="25" t="s">
        <v>264</v>
      </c>
      <c r="E95" s="26" t="s">
        <v>43</v>
      </c>
      <c r="F95" s="27" t="s">
        <v>43</v>
      </c>
      <c r="G95" s="28" t="s">
        <v>43</v>
      </c>
      <c r="H95" s="29"/>
      <c r="I95" s="29" t="s">
        <v>44</v>
      </c>
      <c r="J95" s="30">
        <v>10</v>
      </c>
      <c r="K95" s="31">
        <f>1575</f>
        <v>1575</v>
      </c>
      <c r="L95" s="32" t="s">
        <v>675</v>
      </c>
      <c r="M95" s="31">
        <f>1588</f>
        <v>1588</v>
      </c>
      <c r="N95" s="32" t="s">
        <v>675</v>
      </c>
      <c r="O95" s="31">
        <f>1442.5</f>
        <v>1442.5</v>
      </c>
      <c r="P95" s="32" t="s">
        <v>778</v>
      </c>
      <c r="Q95" s="31">
        <f>1449</f>
        <v>1449</v>
      </c>
      <c r="R95" s="32" t="s">
        <v>681</v>
      </c>
      <c r="S95" s="33">
        <f>1485.82</f>
        <v>1485.82</v>
      </c>
      <c r="T95" s="30">
        <f>639390</f>
        <v>639390</v>
      </c>
      <c r="U95" s="30">
        <f>37900</f>
        <v>37900</v>
      </c>
      <c r="V95" s="30">
        <f>948505125</f>
        <v>948505125</v>
      </c>
      <c r="W95" s="30">
        <f>55760570</f>
        <v>55760570</v>
      </c>
      <c r="X95" s="34">
        <f>19</f>
        <v>19</v>
      </c>
    </row>
    <row r="96" spans="1:24">
      <c r="A96" s="25" t="s">
        <v>1078</v>
      </c>
      <c r="B96" s="25" t="s">
        <v>265</v>
      </c>
      <c r="C96" s="25" t="s">
        <v>266</v>
      </c>
      <c r="D96" s="25" t="s">
        <v>267</v>
      </c>
      <c r="E96" s="26" t="s">
        <v>43</v>
      </c>
      <c r="F96" s="27" t="s">
        <v>43</v>
      </c>
      <c r="G96" s="28" t="s">
        <v>43</v>
      </c>
      <c r="H96" s="29"/>
      <c r="I96" s="29" t="s">
        <v>44</v>
      </c>
      <c r="J96" s="30">
        <v>1</v>
      </c>
      <c r="K96" s="31">
        <f>20375</f>
        <v>20375</v>
      </c>
      <c r="L96" s="32" t="s">
        <v>675</v>
      </c>
      <c r="M96" s="31">
        <f>25730</f>
        <v>25730</v>
      </c>
      <c r="N96" s="32" t="s">
        <v>778</v>
      </c>
      <c r="O96" s="31">
        <f>20125</f>
        <v>20125</v>
      </c>
      <c r="P96" s="32" t="s">
        <v>675</v>
      </c>
      <c r="Q96" s="31">
        <f>24760</f>
        <v>24760</v>
      </c>
      <c r="R96" s="32" t="s">
        <v>681</v>
      </c>
      <c r="S96" s="33">
        <f>23678.95</f>
        <v>23678.95</v>
      </c>
      <c r="T96" s="30">
        <f>132904941</f>
        <v>132904941</v>
      </c>
      <c r="U96" s="30">
        <f>1206528</f>
        <v>1206528</v>
      </c>
      <c r="V96" s="30">
        <f>3147972375709</f>
        <v>3147972375709</v>
      </c>
      <c r="W96" s="30">
        <f>28184831759</f>
        <v>28184831759</v>
      </c>
      <c r="X96" s="34">
        <f>19</f>
        <v>19</v>
      </c>
    </row>
    <row r="97" spans="1:24">
      <c r="A97" s="25" t="s">
        <v>1078</v>
      </c>
      <c r="B97" s="25" t="s">
        <v>268</v>
      </c>
      <c r="C97" s="25" t="s">
        <v>269</v>
      </c>
      <c r="D97" s="25" t="s">
        <v>270</v>
      </c>
      <c r="E97" s="26" t="s">
        <v>43</v>
      </c>
      <c r="F97" s="27" t="s">
        <v>43</v>
      </c>
      <c r="G97" s="28" t="s">
        <v>43</v>
      </c>
      <c r="H97" s="29"/>
      <c r="I97" s="29" t="s">
        <v>44</v>
      </c>
      <c r="J97" s="30">
        <v>1</v>
      </c>
      <c r="K97" s="31">
        <f>753</f>
        <v>753</v>
      </c>
      <c r="L97" s="32" t="s">
        <v>675</v>
      </c>
      <c r="M97" s="31">
        <f>760</f>
        <v>760</v>
      </c>
      <c r="N97" s="32" t="s">
        <v>675</v>
      </c>
      <c r="O97" s="31">
        <f>669</f>
        <v>669</v>
      </c>
      <c r="P97" s="32" t="s">
        <v>778</v>
      </c>
      <c r="Q97" s="31">
        <f>682</f>
        <v>682</v>
      </c>
      <c r="R97" s="32" t="s">
        <v>681</v>
      </c>
      <c r="S97" s="33">
        <f>699.74</f>
        <v>699.74</v>
      </c>
      <c r="T97" s="30">
        <f>75702582</f>
        <v>75702582</v>
      </c>
      <c r="U97" s="30">
        <f>7276208</f>
        <v>7276208</v>
      </c>
      <c r="V97" s="30">
        <f>52734095431</f>
        <v>52734095431</v>
      </c>
      <c r="W97" s="30">
        <f>5049657953</f>
        <v>5049657953</v>
      </c>
      <c r="X97" s="34">
        <f>19</f>
        <v>19</v>
      </c>
    </row>
    <row r="98" spans="1:24">
      <c r="A98" s="25" t="s">
        <v>1078</v>
      </c>
      <c r="B98" s="25" t="s">
        <v>271</v>
      </c>
      <c r="C98" s="25" t="s">
        <v>272</v>
      </c>
      <c r="D98" s="25" t="s">
        <v>273</v>
      </c>
      <c r="E98" s="26" t="s">
        <v>43</v>
      </c>
      <c r="F98" s="27" t="s">
        <v>43</v>
      </c>
      <c r="G98" s="28" t="s">
        <v>43</v>
      </c>
      <c r="H98" s="29"/>
      <c r="I98" s="29" t="s">
        <v>44</v>
      </c>
      <c r="J98" s="30">
        <v>10</v>
      </c>
      <c r="K98" s="31">
        <f>3333</f>
        <v>3333</v>
      </c>
      <c r="L98" s="32" t="s">
        <v>675</v>
      </c>
      <c r="M98" s="31">
        <f>3394</f>
        <v>3394</v>
      </c>
      <c r="N98" s="32" t="s">
        <v>674</v>
      </c>
      <c r="O98" s="31">
        <f>2691</f>
        <v>2691</v>
      </c>
      <c r="P98" s="32" t="s">
        <v>874</v>
      </c>
      <c r="Q98" s="31">
        <f>2874.5</f>
        <v>2874.5</v>
      </c>
      <c r="R98" s="32" t="s">
        <v>681</v>
      </c>
      <c r="S98" s="33">
        <f>3036.26</f>
        <v>3036.26</v>
      </c>
      <c r="T98" s="30">
        <f>925020</f>
        <v>925020</v>
      </c>
      <c r="U98" s="30" t="str">
        <f>"－"</f>
        <v>－</v>
      </c>
      <c r="V98" s="30">
        <f>2783769425</f>
        <v>2783769425</v>
      </c>
      <c r="W98" s="30" t="str">
        <f>"－"</f>
        <v>－</v>
      </c>
      <c r="X98" s="34">
        <f>19</f>
        <v>19</v>
      </c>
    </row>
    <row r="99" spans="1:24">
      <c r="A99" s="25" t="s">
        <v>1078</v>
      </c>
      <c r="B99" s="25" t="s">
        <v>274</v>
      </c>
      <c r="C99" s="25" t="s">
        <v>275</v>
      </c>
      <c r="D99" s="25" t="s">
        <v>276</v>
      </c>
      <c r="E99" s="26" t="s">
        <v>43</v>
      </c>
      <c r="F99" s="27" t="s">
        <v>43</v>
      </c>
      <c r="G99" s="28" t="s">
        <v>43</v>
      </c>
      <c r="H99" s="29"/>
      <c r="I99" s="29" t="s">
        <v>44</v>
      </c>
      <c r="J99" s="30">
        <v>10</v>
      </c>
      <c r="K99" s="31">
        <f>12670</f>
        <v>12670</v>
      </c>
      <c r="L99" s="32" t="s">
        <v>675</v>
      </c>
      <c r="M99" s="31">
        <f>14890</f>
        <v>14890</v>
      </c>
      <c r="N99" s="32" t="s">
        <v>874</v>
      </c>
      <c r="O99" s="31">
        <f>12620</f>
        <v>12620</v>
      </c>
      <c r="P99" s="32" t="s">
        <v>675</v>
      </c>
      <c r="Q99" s="31">
        <f>14320</f>
        <v>14320</v>
      </c>
      <c r="R99" s="32" t="s">
        <v>681</v>
      </c>
      <c r="S99" s="33">
        <f>13847.11</f>
        <v>13847.11</v>
      </c>
      <c r="T99" s="30">
        <f>86580</f>
        <v>86580</v>
      </c>
      <c r="U99" s="30">
        <f>220</f>
        <v>220</v>
      </c>
      <c r="V99" s="30">
        <f>1212906900</f>
        <v>1212906900</v>
      </c>
      <c r="W99" s="30">
        <f>3083950</f>
        <v>3083950</v>
      </c>
      <c r="X99" s="34">
        <f>19</f>
        <v>19</v>
      </c>
    </row>
    <row r="100" spans="1:24">
      <c r="A100" s="25" t="s">
        <v>1078</v>
      </c>
      <c r="B100" s="25" t="s">
        <v>277</v>
      </c>
      <c r="C100" s="25" t="s">
        <v>278</v>
      </c>
      <c r="D100" s="25" t="s">
        <v>972</v>
      </c>
      <c r="E100" s="26" t="s">
        <v>43</v>
      </c>
      <c r="F100" s="27" t="s">
        <v>43</v>
      </c>
      <c r="G100" s="28" t="s">
        <v>43</v>
      </c>
      <c r="H100" s="29"/>
      <c r="I100" s="29" t="s">
        <v>44</v>
      </c>
      <c r="J100" s="30">
        <v>1</v>
      </c>
      <c r="K100" s="31">
        <f>31910</f>
        <v>31910</v>
      </c>
      <c r="L100" s="32" t="s">
        <v>675</v>
      </c>
      <c r="M100" s="31">
        <f>34850</f>
        <v>34850</v>
      </c>
      <c r="N100" s="32" t="s">
        <v>681</v>
      </c>
      <c r="O100" s="31">
        <f>31670</f>
        <v>31670</v>
      </c>
      <c r="P100" s="32" t="s">
        <v>675</v>
      </c>
      <c r="Q100" s="31">
        <f>34840</f>
        <v>34840</v>
      </c>
      <c r="R100" s="32" t="s">
        <v>681</v>
      </c>
      <c r="S100" s="33">
        <f>33886.84</f>
        <v>33886.839999999997</v>
      </c>
      <c r="T100" s="30">
        <f>199829</f>
        <v>199829</v>
      </c>
      <c r="U100" s="30">
        <f>107971</f>
        <v>107971</v>
      </c>
      <c r="V100" s="30">
        <f>6768705157</f>
        <v>6768705157</v>
      </c>
      <c r="W100" s="30">
        <f>3654698057</f>
        <v>3654698057</v>
      </c>
      <c r="X100" s="34">
        <f>19</f>
        <v>19</v>
      </c>
    </row>
    <row r="101" spans="1:24">
      <c r="A101" s="25" t="s">
        <v>1078</v>
      </c>
      <c r="B101" s="25" t="s">
        <v>279</v>
      </c>
      <c r="C101" s="25" t="s">
        <v>280</v>
      </c>
      <c r="D101" s="25" t="s">
        <v>281</v>
      </c>
      <c r="E101" s="26" t="s">
        <v>43</v>
      </c>
      <c r="F101" s="27" t="s">
        <v>43</v>
      </c>
      <c r="G101" s="28" t="s">
        <v>43</v>
      </c>
      <c r="H101" s="29"/>
      <c r="I101" s="29" t="s">
        <v>44</v>
      </c>
      <c r="J101" s="30">
        <v>1</v>
      </c>
      <c r="K101" s="31">
        <f>2628</f>
        <v>2628</v>
      </c>
      <c r="L101" s="32" t="s">
        <v>675</v>
      </c>
      <c r="M101" s="31">
        <f>2946</f>
        <v>2946</v>
      </c>
      <c r="N101" s="32" t="s">
        <v>778</v>
      </c>
      <c r="O101" s="31">
        <f>2606</f>
        <v>2606</v>
      </c>
      <c r="P101" s="32" t="s">
        <v>675</v>
      </c>
      <c r="Q101" s="31">
        <f>2891</f>
        <v>2891</v>
      </c>
      <c r="R101" s="32" t="s">
        <v>681</v>
      </c>
      <c r="S101" s="33">
        <f>2825.05</f>
        <v>2825.05</v>
      </c>
      <c r="T101" s="30">
        <f>361753</f>
        <v>361753</v>
      </c>
      <c r="U101" s="30">
        <f>180000</f>
        <v>180000</v>
      </c>
      <c r="V101" s="30">
        <f>1025284262</f>
        <v>1025284262</v>
      </c>
      <c r="W101" s="30">
        <f>511020000</f>
        <v>511020000</v>
      </c>
      <c r="X101" s="34">
        <f>19</f>
        <v>19</v>
      </c>
    </row>
    <row r="102" spans="1:24">
      <c r="A102" s="25" t="s">
        <v>1078</v>
      </c>
      <c r="B102" s="25" t="s">
        <v>282</v>
      </c>
      <c r="C102" s="25" t="s">
        <v>283</v>
      </c>
      <c r="D102" s="25" t="s">
        <v>284</v>
      </c>
      <c r="E102" s="26" t="s">
        <v>43</v>
      </c>
      <c r="F102" s="27" t="s">
        <v>43</v>
      </c>
      <c r="G102" s="28" t="s">
        <v>43</v>
      </c>
      <c r="H102" s="29"/>
      <c r="I102" s="29" t="s">
        <v>44</v>
      </c>
      <c r="J102" s="30">
        <v>10</v>
      </c>
      <c r="K102" s="31">
        <f>21775</f>
        <v>21775</v>
      </c>
      <c r="L102" s="32" t="s">
        <v>675</v>
      </c>
      <c r="M102" s="31">
        <f>27515</f>
        <v>27515</v>
      </c>
      <c r="N102" s="32" t="s">
        <v>778</v>
      </c>
      <c r="O102" s="31">
        <f>21515</f>
        <v>21515</v>
      </c>
      <c r="P102" s="32" t="s">
        <v>675</v>
      </c>
      <c r="Q102" s="31">
        <f>26445</f>
        <v>26445</v>
      </c>
      <c r="R102" s="32" t="s">
        <v>681</v>
      </c>
      <c r="S102" s="33">
        <f>25313.42</f>
        <v>25313.42</v>
      </c>
      <c r="T102" s="30">
        <f>10759640</f>
        <v>10759640</v>
      </c>
      <c r="U102" s="30">
        <f>29630</f>
        <v>29630</v>
      </c>
      <c r="V102" s="30">
        <f>272445068305</f>
        <v>272445068305</v>
      </c>
      <c r="W102" s="30">
        <f>762241055</f>
        <v>762241055</v>
      </c>
      <c r="X102" s="34">
        <f>19</f>
        <v>19</v>
      </c>
    </row>
    <row r="103" spans="1:24">
      <c r="A103" s="25" t="s">
        <v>1078</v>
      </c>
      <c r="B103" s="25" t="s">
        <v>285</v>
      </c>
      <c r="C103" s="25" t="s">
        <v>286</v>
      </c>
      <c r="D103" s="25" t="s">
        <v>287</v>
      </c>
      <c r="E103" s="26" t="s">
        <v>43</v>
      </c>
      <c r="F103" s="27" t="s">
        <v>43</v>
      </c>
      <c r="G103" s="28" t="s">
        <v>43</v>
      </c>
      <c r="H103" s="29"/>
      <c r="I103" s="29" t="s">
        <v>44</v>
      </c>
      <c r="J103" s="30">
        <v>10</v>
      </c>
      <c r="K103" s="31">
        <f>1997</f>
        <v>1997</v>
      </c>
      <c r="L103" s="32" t="s">
        <v>675</v>
      </c>
      <c r="M103" s="31">
        <f>2015.5</f>
        <v>2015.5</v>
      </c>
      <c r="N103" s="32" t="s">
        <v>675</v>
      </c>
      <c r="O103" s="31">
        <f>1777</f>
        <v>1777</v>
      </c>
      <c r="P103" s="32" t="s">
        <v>778</v>
      </c>
      <c r="Q103" s="31">
        <f>1813</f>
        <v>1813</v>
      </c>
      <c r="R103" s="32" t="s">
        <v>681</v>
      </c>
      <c r="S103" s="33">
        <f>1857</f>
        <v>1857</v>
      </c>
      <c r="T103" s="30">
        <f>3485750</f>
        <v>3485750</v>
      </c>
      <c r="U103" s="30">
        <f>330000</f>
        <v>330000</v>
      </c>
      <c r="V103" s="30">
        <f>6515349850</f>
        <v>6515349850</v>
      </c>
      <c r="W103" s="30">
        <f>633679500</f>
        <v>633679500</v>
      </c>
      <c r="X103" s="34">
        <f>19</f>
        <v>19</v>
      </c>
    </row>
    <row r="104" spans="1:24">
      <c r="A104" s="25" t="s">
        <v>1078</v>
      </c>
      <c r="B104" s="25" t="s">
        <v>288</v>
      </c>
      <c r="C104" s="25" t="s">
        <v>922</v>
      </c>
      <c r="D104" s="25" t="s">
        <v>923</v>
      </c>
      <c r="E104" s="26" t="s">
        <v>43</v>
      </c>
      <c r="F104" s="27" t="s">
        <v>43</v>
      </c>
      <c r="G104" s="28" t="s">
        <v>43</v>
      </c>
      <c r="H104" s="29"/>
      <c r="I104" s="29" t="s">
        <v>44</v>
      </c>
      <c r="J104" s="30">
        <v>10</v>
      </c>
      <c r="K104" s="31">
        <f>1670</f>
        <v>1670</v>
      </c>
      <c r="L104" s="32" t="s">
        <v>675</v>
      </c>
      <c r="M104" s="31">
        <f>1799</f>
        <v>1799</v>
      </c>
      <c r="N104" s="32" t="s">
        <v>778</v>
      </c>
      <c r="O104" s="31">
        <f>1651.5</f>
        <v>1651.5</v>
      </c>
      <c r="P104" s="32" t="s">
        <v>675</v>
      </c>
      <c r="Q104" s="31">
        <f>1765</f>
        <v>1765</v>
      </c>
      <c r="R104" s="32" t="s">
        <v>681</v>
      </c>
      <c r="S104" s="33">
        <f>1747.92</f>
        <v>1747.92</v>
      </c>
      <c r="T104" s="30">
        <f>31860</f>
        <v>31860</v>
      </c>
      <c r="U104" s="30">
        <f>60</f>
        <v>60</v>
      </c>
      <c r="V104" s="30">
        <f>55222215</f>
        <v>55222215</v>
      </c>
      <c r="W104" s="30">
        <f>105345</f>
        <v>105345</v>
      </c>
      <c r="X104" s="34">
        <f>19</f>
        <v>19</v>
      </c>
    </row>
    <row r="105" spans="1:24">
      <c r="A105" s="25" t="s">
        <v>1078</v>
      </c>
      <c r="B105" s="25" t="s">
        <v>289</v>
      </c>
      <c r="C105" s="25" t="s">
        <v>290</v>
      </c>
      <c r="D105" s="25" t="s">
        <v>291</v>
      </c>
      <c r="E105" s="26" t="s">
        <v>43</v>
      </c>
      <c r="F105" s="27" t="s">
        <v>43</v>
      </c>
      <c r="G105" s="28" t="s">
        <v>43</v>
      </c>
      <c r="H105" s="29"/>
      <c r="I105" s="29" t="s">
        <v>44</v>
      </c>
      <c r="J105" s="30">
        <v>1</v>
      </c>
      <c r="K105" s="31">
        <f>1878</f>
        <v>1878</v>
      </c>
      <c r="L105" s="32" t="s">
        <v>675</v>
      </c>
      <c r="M105" s="31">
        <f>2115</f>
        <v>2115</v>
      </c>
      <c r="N105" s="32" t="s">
        <v>883</v>
      </c>
      <c r="O105" s="31">
        <f>1878</f>
        <v>1878</v>
      </c>
      <c r="P105" s="32" t="s">
        <v>675</v>
      </c>
      <c r="Q105" s="31">
        <f>2019</f>
        <v>2019</v>
      </c>
      <c r="R105" s="32" t="s">
        <v>681</v>
      </c>
      <c r="S105" s="33">
        <f>2012.58</f>
        <v>2012.58</v>
      </c>
      <c r="T105" s="30">
        <f>5758</f>
        <v>5758</v>
      </c>
      <c r="U105" s="30" t="str">
        <f>"－"</f>
        <v>－</v>
      </c>
      <c r="V105" s="30">
        <f>11415667</f>
        <v>11415667</v>
      </c>
      <c r="W105" s="30" t="str">
        <f>"－"</f>
        <v>－</v>
      </c>
      <c r="X105" s="34">
        <f>19</f>
        <v>19</v>
      </c>
    </row>
    <row r="106" spans="1:24">
      <c r="A106" s="25" t="s">
        <v>1078</v>
      </c>
      <c r="B106" s="25" t="s">
        <v>292</v>
      </c>
      <c r="C106" s="25" t="s">
        <v>293</v>
      </c>
      <c r="D106" s="25" t="s">
        <v>294</v>
      </c>
      <c r="E106" s="26" t="s">
        <v>43</v>
      </c>
      <c r="F106" s="27" t="s">
        <v>43</v>
      </c>
      <c r="G106" s="28" t="s">
        <v>43</v>
      </c>
      <c r="H106" s="29"/>
      <c r="I106" s="29" t="s">
        <v>44</v>
      </c>
      <c r="J106" s="30">
        <v>1</v>
      </c>
      <c r="K106" s="31">
        <f>21350</f>
        <v>21350</v>
      </c>
      <c r="L106" s="32" t="s">
        <v>675</v>
      </c>
      <c r="M106" s="31">
        <f>23340</f>
        <v>23340</v>
      </c>
      <c r="N106" s="32" t="s">
        <v>778</v>
      </c>
      <c r="O106" s="31">
        <f>21200</f>
        <v>21200</v>
      </c>
      <c r="P106" s="32" t="s">
        <v>675</v>
      </c>
      <c r="Q106" s="31">
        <f>23140</f>
        <v>23140</v>
      </c>
      <c r="R106" s="32" t="s">
        <v>681</v>
      </c>
      <c r="S106" s="33">
        <f>22653.95</f>
        <v>22653.95</v>
      </c>
      <c r="T106" s="30">
        <f>127894</f>
        <v>127894</v>
      </c>
      <c r="U106" s="30">
        <f>42120</f>
        <v>42120</v>
      </c>
      <c r="V106" s="30">
        <f>2909331006</f>
        <v>2909331006</v>
      </c>
      <c r="W106" s="30">
        <f>955862316</f>
        <v>955862316</v>
      </c>
      <c r="X106" s="34">
        <f>19</f>
        <v>19</v>
      </c>
    </row>
    <row r="107" spans="1:24">
      <c r="A107" s="25" t="s">
        <v>1078</v>
      </c>
      <c r="B107" s="25" t="s">
        <v>295</v>
      </c>
      <c r="C107" s="25" t="s">
        <v>296</v>
      </c>
      <c r="D107" s="25" t="s">
        <v>297</v>
      </c>
      <c r="E107" s="26" t="s">
        <v>43</v>
      </c>
      <c r="F107" s="27" t="s">
        <v>43</v>
      </c>
      <c r="G107" s="28" t="s">
        <v>43</v>
      </c>
      <c r="H107" s="29"/>
      <c r="I107" s="29" t="s">
        <v>44</v>
      </c>
      <c r="J107" s="30">
        <v>1</v>
      </c>
      <c r="K107" s="31">
        <f>1958</f>
        <v>1958</v>
      </c>
      <c r="L107" s="32" t="s">
        <v>675</v>
      </c>
      <c r="M107" s="31">
        <f>2132</f>
        <v>2132</v>
      </c>
      <c r="N107" s="32" t="s">
        <v>778</v>
      </c>
      <c r="O107" s="31">
        <f>1931</f>
        <v>1931</v>
      </c>
      <c r="P107" s="32" t="s">
        <v>675</v>
      </c>
      <c r="Q107" s="31">
        <f>2117</f>
        <v>2117</v>
      </c>
      <c r="R107" s="32" t="s">
        <v>681</v>
      </c>
      <c r="S107" s="33">
        <f>2069.21</f>
        <v>2069.21</v>
      </c>
      <c r="T107" s="30">
        <f>174278</f>
        <v>174278</v>
      </c>
      <c r="U107" s="30">
        <f>100000</f>
        <v>100000</v>
      </c>
      <c r="V107" s="30">
        <f>360898817</f>
        <v>360898817</v>
      </c>
      <c r="W107" s="30">
        <f>208510000</f>
        <v>208510000</v>
      </c>
      <c r="X107" s="34">
        <f>19</f>
        <v>19</v>
      </c>
    </row>
    <row r="108" spans="1:24">
      <c r="A108" s="25" t="s">
        <v>1078</v>
      </c>
      <c r="B108" s="25" t="s">
        <v>298</v>
      </c>
      <c r="C108" s="25" t="s">
        <v>299</v>
      </c>
      <c r="D108" s="25" t="s">
        <v>300</v>
      </c>
      <c r="E108" s="26" t="s">
        <v>43</v>
      </c>
      <c r="F108" s="27" t="s">
        <v>43</v>
      </c>
      <c r="G108" s="28" t="s">
        <v>43</v>
      </c>
      <c r="H108" s="29"/>
      <c r="I108" s="29" t="s">
        <v>44</v>
      </c>
      <c r="J108" s="30">
        <v>1</v>
      </c>
      <c r="K108" s="31">
        <f>22015</f>
        <v>22015</v>
      </c>
      <c r="L108" s="32" t="s">
        <v>675</v>
      </c>
      <c r="M108" s="31">
        <f>23810</f>
        <v>23810</v>
      </c>
      <c r="N108" s="32" t="s">
        <v>778</v>
      </c>
      <c r="O108" s="31">
        <f>21850</f>
        <v>21850</v>
      </c>
      <c r="P108" s="32" t="s">
        <v>675</v>
      </c>
      <c r="Q108" s="31">
        <f>23620</f>
        <v>23620</v>
      </c>
      <c r="R108" s="32" t="s">
        <v>681</v>
      </c>
      <c r="S108" s="33">
        <f>23205</f>
        <v>23205</v>
      </c>
      <c r="T108" s="30">
        <f>45880</f>
        <v>45880</v>
      </c>
      <c r="U108" s="30">
        <f>20350</f>
        <v>20350</v>
      </c>
      <c r="V108" s="30">
        <f>1062216015</f>
        <v>1062216015</v>
      </c>
      <c r="W108" s="30">
        <f>468910920</f>
        <v>468910920</v>
      </c>
      <c r="X108" s="34">
        <f>19</f>
        <v>19</v>
      </c>
    </row>
    <row r="109" spans="1:24">
      <c r="A109" s="25" t="s">
        <v>1078</v>
      </c>
      <c r="B109" s="25" t="s">
        <v>301</v>
      </c>
      <c r="C109" s="25" t="s">
        <v>302</v>
      </c>
      <c r="D109" s="25" t="s">
        <v>303</v>
      </c>
      <c r="E109" s="26" t="s">
        <v>43</v>
      </c>
      <c r="F109" s="27" t="s">
        <v>43</v>
      </c>
      <c r="G109" s="28" t="s">
        <v>43</v>
      </c>
      <c r="H109" s="29"/>
      <c r="I109" s="29" t="s">
        <v>44</v>
      </c>
      <c r="J109" s="30">
        <v>10</v>
      </c>
      <c r="K109" s="31">
        <f>1859</f>
        <v>1859</v>
      </c>
      <c r="L109" s="32" t="s">
        <v>675</v>
      </c>
      <c r="M109" s="31">
        <f>1894</f>
        <v>1894</v>
      </c>
      <c r="N109" s="32" t="s">
        <v>778</v>
      </c>
      <c r="O109" s="31">
        <f>1786.5</f>
        <v>1786.5</v>
      </c>
      <c r="P109" s="32" t="s">
        <v>677</v>
      </c>
      <c r="Q109" s="31">
        <f>1837</f>
        <v>1837</v>
      </c>
      <c r="R109" s="32" t="s">
        <v>681</v>
      </c>
      <c r="S109" s="33">
        <f>1852.74</f>
        <v>1852.74</v>
      </c>
      <c r="T109" s="30">
        <f>1010320</f>
        <v>1010320</v>
      </c>
      <c r="U109" s="30">
        <f>10</f>
        <v>10</v>
      </c>
      <c r="V109" s="30">
        <f>1877553720</f>
        <v>1877553720</v>
      </c>
      <c r="W109" s="30">
        <f>17150</f>
        <v>17150</v>
      </c>
      <c r="X109" s="34">
        <f>19</f>
        <v>19</v>
      </c>
    </row>
    <row r="110" spans="1:24">
      <c r="A110" s="25" t="s">
        <v>1078</v>
      </c>
      <c r="B110" s="25" t="s">
        <v>304</v>
      </c>
      <c r="C110" s="25" t="s">
        <v>305</v>
      </c>
      <c r="D110" s="25" t="s">
        <v>306</v>
      </c>
      <c r="E110" s="26" t="s">
        <v>43</v>
      </c>
      <c r="F110" s="27" t="s">
        <v>43</v>
      </c>
      <c r="G110" s="28" t="s">
        <v>43</v>
      </c>
      <c r="H110" s="29"/>
      <c r="I110" s="29" t="s">
        <v>44</v>
      </c>
      <c r="J110" s="30">
        <v>10</v>
      </c>
      <c r="K110" s="31">
        <f>1991</f>
        <v>1991</v>
      </c>
      <c r="L110" s="32" t="s">
        <v>675</v>
      </c>
      <c r="M110" s="31">
        <f>2122</f>
        <v>2122</v>
      </c>
      <c r="N110" s="32" t="s">
        <v>875</v>
      </c>
      <c r="O110" s="31">
        <f>1991</f>
        <v>1991</v>
      </c>
      <c r="P110" s="32" t="s">
        <v>675</v>
      </c>
      <c r="Q110" s="31">
        <f>2121</f>
        <v>2121</v>
      </c>
      <c r="R110" s="32" t="s">
        <v>683</v>
      </c>
      <c r="S110" s="33">
        <f>2079.71</f>
        <v>2079.71</v>
      </c>
      <c r="T110" s="30">
        <f>330</f>
        <v>330</v>
      </c>
      <c r="U110" s="30" t="str">
        <f>"－"</f>
        <v>－</v>
      </c>
      <c r="V110" s="30">
        <f>687090</f>
        <v>687090</v>
      </c>
      <c r="W110" s="30" t="str">
        <f>"－"</f>
        <v>－</v>
      </c>
      <c r="X110" s="34">
        <f>7</f>
        <v>7</v>
      </c>
    </row>
    <row r="111" spans="1:24">
      <c r="A111" s="25" t="s">
        <v>1078</v>
      </c>
      <c r="B111" s="25" t="s">
        <v>307</v>
      </c>
      <c r="C111" s="25" t="s">
        <v>308</v>
      </c>
      <c r="D111" s="25" t="s">
        <v>309</v>
      </c>
      <c r="E111" s="26" t="s">
        <v>43</v>
      </c>
      <c r="F111" s="27" t="s">
        <v>43</v>
      </c>
      <c r="G111" s="28" t="s">
        <v>43</v>
      </c>
      <c r="H111" s="29"/>
      <c r="I111" s="29" t="s">
        <v>44</v>
      </c>
      <c r="J111" s="30">
        <v>10</v>
      </c>
      <c r="K111" s="31">
        <f>1863</f>
        <v>1863</v>
      </c>
      <c r="L111" s="32" t="s">
        <v>675</v>
      </c>
      <c r="M111" s="31">
        <f>1899</f>
        <v>1899</v>
      </c>
      <c r="N111" s="32" t="s">
        <v>778</v>
      </c>
      <c r="O111" s="31">
        <f>1840</f>
        <v>1840</v>
      </c>
      <c r="P111" s="32" t="s">
        <v>675</v>
      </c>
      <c r="Q111" s="31">
        <f>1859.5</f>
        <v>1859.5</v>
      </c>
      <c r="R111" s="32" t="s">
        <v>681</v>
      </c>
      <c r="S111" s="33">
        <f>1870.71</f>
        <v>1870.71</v>
      </c>
      <c r="T111" s="30">
        <f>1252640</f>
        <v>1252640</v>
      </c>
      <c r="U111" s="30">
        <f>589150</f>
        <v>589150</v>
      </c>
      <c r="V111" s="30">
        <f>2346518946</f>
        <v>2346518946</v>
      </c>
      <c r="W111" s="30">
        <f>1106854326</f>
        <v>1106854326</v>
      </c>
      <c r="X111" s="34">
        <f>19</f>
        <v>19</v>
      </c>
    </row>
    <row r="112" spans="1:24">
      <c r="A112" s="25" t="s">
        <v>1078</v>
      </c>
      <c r="B112" s="25" t="s">
        <v>310</v>
      </c>
      <c r="C112" s="25" t="s">
        <v>924</v>
      </c>
      <c r="D112" s="25" t="s">
        <v>925</v>
      </c>
      <c r="E112" s="26" t="s">
        <v>43</v>
      </c>
      <c r="F112" s="27" t="s">
        <v>43</v>
      </c>
      <c r="G112" s="28" t="s">
        <v>43</v>
      </c>
      <c r="H112" s="29"/>
      <c r="I112" s="29" t="s">
        <v>44</v>
      </c>
      <c r="J112" s="30">
        <v>1</v>
      </c>
      <c r="K112" s="31">
        <f>21820</f>
        <v>21820</v>
      </c>
      <c r="L112" s="32" t="s">
        <v>675</v>
      </c>
      <c r="M112" s="31">
        <f>23575</f>
        <v>23575</v>
      </c>
      <c r="N112" s="32" t="s">
        <v>778</v>
      </c>
      <c r="O112" s="31">
        <f>21820</f>
        <v>21820</v>
      </c>
      <c r="P112" s="32" t="s">
        <v>675</v>
      </c>
      <c r="Q112" s="31">
        <f>23350</f>
        <v>23350</v>
      </c>
      <c r="R112" s="32" t="s">
        <v>681</v>
      </c>
      <c r="S112" s="33">
        <f>22909.74</f>
        <v>22909.74</v>
      </c>
      <c r="T112" s="30">
        <f>12968</f>
        <v>12968</v>
      </c>
      <c r="U112" s="30">
        <f>9000</f>
        <v>9000</v>
      </c>
      <c r="V112" s="30">
        <f>299411895</f>
        <v>299411895</v>
      </c>
      <c r="W112" s="30">
        <f>208830600</f>
        <v>208830600</v>
      </c>
      <c r="X112" s="34">
        <f>19</f>
        <v>19</v>
      </c>
    </row>
    <row r="113" spans="1:24">
      <c r="A113" s="25" t="s">
        <v>1078</v>
      </c>
      <c r="B113" s="25" t="s">
        <v>311</v>
      </c>
      <c r="C113" s="25" t="s">
        <v>312</v>
      </c>
      <c r="D113" s="25" t="s">
        <v>313</v>
      </c>
      <c r="E113" s="26" t="s">
        <v>43</v>
      </c>
      <c r="F113" s="27" t="s">
        <v>43</v>
      </c>
      <c r="G113" s="28" t="s">
        <v>43</v>
      </c>
      <c r="H113" s="29"/>
      <c r="I113" s="29" t="s">
        <v>44</v>
      </c>
      <c r="J113" s="30">
        <v>100</v>
      </c>
      <c r="K113" s="31">
        <f>262</f>
        <v>262</v>
      </c>
      <c r="L113" s="32" t="s">
        <v>675</v>
      </c>
      <c r="M113" s="31">
        <f>292.5</f>
        <v>292.5</v>
      </c>
      <c r="N113" s="32" t="s">
        <v>679</v>
      </c>
      <c r="O113" s="31">
        <f>259.7</f>
        <v>259.7</v>
      </c>
      <c r="P113" s="32" t="s">
        <v>675</v>
      </c>
      <c r="Q113" s="31">
        <f>292.1</f>
        <v>292.10000000000002</v>
      </c>
      <c r="R113" s="32" t="s">
        <v>681</v>
      </c>
      <c r="S113" s="33">
        <f>278.27</f>
        <v>278.27</v>
      </c>
      <c r="T113" s="30">
        <f>118110300</f>
        <v>118110300</v>
      </c>
      <c r="U113" s="30">
        <f>31135400</f>
        <v>31135400</v>
      </c>
      <c r="V113" s="30">
        <f>33179599540</f>
        <v>33179599540</v>
      </c>
      <c r="W113" s="30">
        <f>8867114380</f>
        <v>8867114380</v>
      </c>
      <c r="X113" s="34">
        <f>19</f>
        <v>19</v>
      </c>
    </row>
    <row r="114" spans="1:24">
      <c r="A114" s="25" t="s">
        <v>1078</v>
      </c>
      <c r="B114" s="25" t="s">
        <v>314</v>
      </c>
      <c r="C114" s="25" t="s">
        <v>315</v>
      </c>
      <c r="D114" s="25" t="s">
        <v>316</v>
      </c>
      <c r="E114" s="26" t="s">
        <v>43</v>
      </c>
      <c r="F114" s="27" t="s">
        <v>43</v>
      </c>
      <c r="G114" s="28" t="s">
        <v>43</v>
      </c>
      <c r="H114" s="29"/>
      <c r="I114" s="29" t="s">
        <v>44</v>
      </c>
      <c r="J114" s="30">
        <v>1</v>
      </c>
      <c r="K114" s="31">
        <f>35610</f>
        <v>35610</v>
      </c>
      <c r="L114" s="32" t="s">
        <v>675</v>
      </c>
      <c r="M114" s="31">
        <f>37670</f>
        <v>37670</v>
      </c>
      <c r="N114" s="32" t="s">
        <v>778</v>
      </c>
      <c r="O114" s="31">
        <f>35500</f>
        <v>35500</v>
      </c>
      <c r="P114" s="32" t="s">
        <v>675</v>
      </c>
      <c r="Q114" s="31">
        <f>37370</f>
        <v>37370</v>
      </c>
      <c r="R114" s="32" t="s">
        <v>681</v>
      </c>
      <c r="S114" s="33">
        <f>37019.47</f>
        <v>37019.47</v>
      </c>
      <c r="T114" s="30">
        <f>3441</f>
        <v>3441</v>
      </c>
      <c r="U114" s="30" t="str">
        <f t="shared" ref="U114:U119" si="0">"－"</f>
        <v>－</v>
      </c>
      <c r="V114" s="30">
        <f>127719670</f>
        <v>127719670</v>
      </c>
      <c r="W114" s="30" t="str">
        <f t="shared" ref="W114:W119" si="1">"－"</f>
        <v>－</v>
      </c>
      <c r="X114" s="34">
        <f>19</f>
        <v>19</v>
      </c>
    </row>
    <row r="115" spans="1:24">
      <c r="A115" s="25" t="s">
        <v>1078</v>
      </c>
      <c r="B115" s="25" t="s">
        <v>317</v>
      </c>
      <c r="C115" s="25" t="s">
        <v>318</v>
      </c>
      <c r="D115" s="25" t="s">
        <v>319</v>
      </c>
      <c r="E115" s="26" t="s">
        <v>43</v>
      </c>
      <c r="F115" s="27" t="s">
        <v>43</v>
      </c>
      <c r="G115" s="28" t="s">
        <v>43</v>
      </c>
      <c r="H115" s="29"/>
      <c r="I115" s="29" t="s">
        <v>44</v>
      </c>
      <c r="J115" s="30">
        <v>1</v>
      </c>
      <c r="K115" s="31">
        <f>17260</f>
        <v>17260</v>
      </c>
      <c r="L115" s="32" t="s">
        <v>675</v>
      </c>
      <c r="M115" s="31">
        <f>18930</f>
        <v>18930</v>
      </c>
      <c r="N115" s="32" t="s">
        <v>883</v>
      </c>
      <c r="O115" s="31">
        <f>17260</f>
        <v>17260</v>
      </c>
      <c r="P115" s="32" t="s">
        <v>675</v>
      </c>
      <c r="Q115" s="31">
        <f>18575</f>
        <v>18575</v>
      </c>
      <c r="R115" s="32" t="s">
        <v>681</v>
      </c>
      <c r="S115" s="33">
        <f>18413.42</f>
        <v>18413.419999999998</v>
      </c>
      <c r="T115" s="30">
        <f>9020</f>
        <v>9020</v>
      </c>
      <c r="U115" s="30" t="str">
        <f t="shared" si="0"/>
        <v>－</v>
      </c>
      <c r="V115" s="30">
        <f>166164540</f>
        <v>166164540</v>
      </c>
      <c r="W115" s="30" t="str">
        <f t="shared" si="1"/>
        <v>－</v>
      </c>
      <c r="X115" s="34">
        <f>19</f>
        <v>19</v>
      </c>
    </row>
    <row r="116" spans="1:24">
      <c r="A116" s="25" t="s">
        <v>1078</v>
      </c>
      <c r="B116" s="25" t="s">
        <v>320</v>
      </c>
      <c r="C116" s="25" t="s">
        <v>321</v>
      </c>
      <c r="D116" s="25" t="s">
        <v>322</v>
      </c>
      <c r="E116" s="26" t="s">
        <v>43</v>
      </c>
      <c r="F116" s="27" t="s">
        <v>43</v>
      </c>
      <c r="G116" s="28" t="s">
        <v>43</v>
      </c>
      <c r="H116" s="29"/>
      <c r="I116" s="29" t="s">
        <v>44</v>
      </c>
      <c r="J116" s="30">
        <v>1</v>
      </c>
      <c r="K116" s="31">
        <f>27510</f>
        <v>27510</v>
      </c>
      <c r="L116" s="32" t="s">
        <v>675</v>
      </c>
      <c r="M116" s="31">
        <f>28760</f>
        <v>28760</v>
      </c>
      <c r="N116" s="32" t="s">
        <v>778</v>
      </c>
      <c r="O116" s="31">
        <f>26780</f>
        <v>26780</v>
      </c>
      <c r="P116" s="32" t="s">
        <v>675</v>
      </c>
      <c r="Q116" s="31">
        <f>28365</f>
        <v>28365</v>
      </c>
      <c r="R116" s="32" t="s">
        <v>681</v>
      </c>
      <c r="S116" s="33">
        <f>28009.74</f>
        <v>28009.74</v>
      </c>
      <c r="T116" s="30">
        <f>11551</f>
        <v>11551</v>
      </c>
      <c r="U116" s="30" t="str">
        <f t="shared" si="0"/>
        <v>－</v>
      </c>
      <c r="V116" s="30">
        <f>319290920</f>
        <v>319290920</v>
      </c>
      <c r="W116" s="30" t="str">
        <f t="shared" si="1"/>
        <v>－</v>
      </c>
      <c r="X116" s="34">
        <f>19</f>
        <v>19</v>
      </c>
    </row>
    <row r="117" spans="1:24">
      <c r="A117" s="25" t="s">
        <v>1078</v>
      </c>
      <c r="B117" s="25" t="s">
        <v>323</v>
      </c>
      <c r="C117" s="25" t="s">
        <v>324</v>
      </c>
      <c r="D117" s="25" t="s">
        <v>325</v>
      </c>
      <c r="E117" s="26" t="s">
        <v>43</v>
      </c>
      <c r="F117" s="27" t="s">
        <v>43</v>
      </c>
      <c r="G117" s="28" t="s">
        <v>43</v>
      </c>
      <c r="H117" s="29"/>
      <c r="I117" s="29" t="s">
        <v>44</v>
      </c>
      <c r="J117" s="30">
        <v>1</v>
      </c>
      <c r="K117" s="31">
        <f>28685</f>
        <v>28685</v>
      </c>
      <c r="L117" s="32" t="s">
        <v>675</v>
      </c>
      <c r="M117" s="31">
        <f>29930</f>
        <v>29930</v>
      </c>
      <c r="N117" s="32" t="s">
        <v>875</v>
      </c>
      <c r="O117" s="31">
        <f>28420</f>
        <v>28420</v>
      </c>
      <c r="P117" s="32" t="s">
        <v>675</v>
      </c>
      <c r="Q117" s="31">
        <f>29605</f>
        <v>29605</v>
      </c>
      <c r="R117" s="32" t="s">
        <v>681</v>
      </c>
      <c r="S117" s="33">
        <f>29333.16</f>
        <v>29333.16</v>
      </c>
      <c r="T117" s="30">
        <f>3237</f>
        <v>3237</v>
      </c>
      <c r="U117" s="30" t="str">
        <f t="shared" si="0"/>
        <v>－</v>
      </c>
      <c r="V117" s="30">
        <f>94600505</f>
        <v>94600505</v>
      </c>
      <c r="W117" s="30" t="str">
        <f t="shared" si="1"/>
        <v>－</v>
      </c>
      <c r="X117" s="34">
        <f>19</f>
        <v>19</v>
      </c>
    </row>
    <row r="118" spans="1:24">
      <c r="A118" s="25" t="s">
        <v>1078</v>
      </c>
      <c r="B118" s="25" t="s">
        <v>326</v>
      </c>
      <c r="C118" s="25" t="s">
        <v>327</v>
      </c>
      <c r="D118" s="25" t="s">
        <v>328</v>
      </c>
      <c r="E118" s="26" t="s">
        <v>43</v>
      </c>
      <c r="F118" s="27" t="s">
        <v>43</v>
      </c>
      <c r="G118" s="28" t="s">
        <v>43</v>
      </c>
      <c r="H118" s="29"/>
      <c r="I118" s="29" t="s">
        <v>44</v>
      </c>
      <c r="J118" s="30">
        <v>1</v>
      </c>
      <c r="K118" s="31">
        <f>25655</f>
        <v>25655</v>
      </c>
      <c r="L118" s="32" t="s">
        <v>675</v>
      </c>
      <c r="M118" s="31">
        <f>28050</f>
        <v>28050</v>
      </c>
      <c r="N118" s="32" t="s">
        <v>677</v>
      </c>
      <c r="O118" s="31">
        <f>25570</f>
        <v>25570</v>
      </c>
      <c r="P118" s="32" t="s">
        <v>675</v>
      </c>
      <c r="Q118" s="31">
        <f>27040</f>
        <v>27040</v>
      </c>
      <c r="R118" s="32" t="s">
        <v>681</v>
      </c>
      <c r="S118" s="33">
        <f>27156.58</f>
        <v>27156.58</v>
      </c>
      <c r="T118" s="30">
        <f>9436</f>
        <v>9436</v>
      </c>
      <c r="U118" s="30" t="str">
        <f t="shared" si="0"/>
        <v>－</v>
      </c>
      <c r="V118" s="30">
        <f>253726430</f>
        <v>253726430</v>
      </c>
      <c r="W118" s="30" t="str">
        <f t="shared" si="1"/>
        <v>－</v>
      </c>
      <c r="X118" s="34">
        <f>19</f>
        <v>19</v>
      </c>
    </row>
    <row r="119" spans="1:24">
      <c r="A119" s="25" t="s">
        <v>1078</v>
      </c>
      <c r="B119" s="25" t="s">
        <v>329</v>
      </c>
      <c r="C119" s="25" t="s">
        <v>330</v>
      </c>
      <c r="D119" s="25" t="s">
        <v>331</v>
      </c>
      <c r="E119" s="26" t="s">
        <v>43</v>
      </c>
      <c r="F119" s="27" t="s">
        <v>43</v>
      </c>
      <c r="G119" s="28" t="s">
        <v>43</v>
      </c>
      <c r="H119" s="29"/>
      <c r="I119" s="29" t="s">
        <v>44</v>
      </c>
      <c r="J119" s="30">
        <v>1</v>
      </c>
      <c r="K119" s="31">
        <f>28580</f>
        <v>28580</v>
      </c>
      <c r="L119" s="32" t="s">
        <v>675</v>
      </c>
      <c r="M119" s="31">
        <f>32400</f>
        <v>32400</v>
      </c>
      <c r="N119" s="32" t="s">
        <v>778</v>
      </c>
      <c r="O119" s="31">
        <f>28400</f>
        <v>28400</v>
      </c>
      <c r="P119" s="32" t="s">
        <v>675</v>
      </c>
      <c r="Q119" s="31">
        <f>32140</f>
        <v>32140</v>
      </c>
      <c r="R119" s="32" t="s">
        <v>681</v>
      </c>
      <c r="S119" s="33">
        <f>31034.74</f>
        <v>31034.74</v>
      </c>
      <c r="T119" s="30">
        <f>11298</f>
        <v>11298</v>
      </c>
      <c r="U119" s="30" t="str">
        <f t="shared" si="0"/>
        <v>－</v>
      </c>
      <c r="V119" s="30">
        <f>349884365</f>
        <v>349884365</v>
      </c>
      <c r="W119" s="30" t="str">
        <f t="shared" si="1"/>
        <v>－</v>
      </c>
      <c r="X119" s="34">
        <f>19</f>
        <v>19</v>
      </c>
    </row>
    <row r="120" spans="1:24">
      <c r="A120" s="25" t="s">
        <v>1078</v>
      </c>
      <c r="B120" s="25" t="s">
        <v>332</v>
      </c>
      <c r="C120" s="25" t="s">
        <v>333</v>
      </c>
      <c r="D120" s="25" t="s">
        <v>334</v>
      </c>
      <c r="E120" s="26" t="s">
        <v>43</v>
      </c>
      <c r="F120" s="27" t="s">
        <v>43</v>
      </c>
      <c r="G120" s="28" t="s">
        <v>43</v>
      </c>
      <c r="H120" s="29"/>
      <c r="I120" s="29" t="s">
        <v>44</v>
      </c>
      <c r="J120" s="30">
        <v>1</v>
      </c>
      <c r="K120" s="31">
        <f>23040</f>
        <v>23040</v>
      </c>
      <c r="L120" s="32" t="s">
        <v>675</v>
      </c>
      <c r="M120" s="31">
        <f>24815</f>
        <v>24815</v>
      </c>
      <c r="N120" s="32" t="s">
        <v>681</v>
      </c>
      <c r="O120" s="31">
        <f>22965</f>
        <v>22965</v>
      </c>
      <c r="P120" s="32" t="s">
        <v>675</v>
      </c>
      <c r="Q120" s="31">
        <f>24815</f>
        <v>24815</v>
      </c>
      <c r="R120" s="32" t="s">
        <v>681</v>
      </c>
      <c r="S120" s="33">
        <f>24109.74</f>
        <v>24109.74</v>
      </c>
      <c r="T120" s="30">
        <f>6114</f>
        <v>6114</v>
      </c>
      <c r="U120" s="30">
        <f>19</f>
        <v>19</v>
      </c>
      <c r="V120" s="30">
        <f>146686630</f>
        <v>146686630</v>
      </c>
      <c r="W120" s="30">
        <f>454860</f>
        <v>454860</v>
      </c>
      <c r="X120" s="34">
        <f>19</f>
        <v>19</v>
      </c>
    </row>
    <row r="121" spans="1:24">
      <c r="A121" s="25" t="s">
        <v>1078</v>
      </c>
      <c r="B121" s="25" t="s">
        <v>335</v>
      </c>
      <c r="C121" s="25" t="s">
        <v>336</v>
      </c>
      <c r="D121" s="25" t="s">
        <v>337</v>
      </c>
      <c r="E121" s="26" t="s">
        <v>43</v>
      </c>
      <c r="F121" s="27" t="s">
        <v>43</v>
      </c>
      <c r="G121" s="28" t="s">
        <v>43</v>
      </c>
      <c r="H121" s="29"/>
      <c r="I121" s="29" t="s">
        <v>44</v>
      </c>
      <c r="J121" s="30">
        <v>1</v>
      </c>
      <c r="K121" s="31">
        <f>47870</f>
        <v>47870</v>
      </c>
      <c r="L121" s="32" t="s">
        <v>675</v>
      </c>
      <c r="M121" s="31">
        <f>53080</f>
        <v>53080</v>
      </c>
      <c r="N121" s="32" t="s">
        <v>778</v>
      </c>
      <c r="O121" s="31">
        <f>47320</f>
        <v>47320</v>
      </c>
      <c r="P121" s="32" t="s">
        <v>675</v>
      </c>
      <c r="Q121" s="31">
        <f>52680</f>
        <v>52680</v>
      </c>
      <c r="R121" s="32" t="s">
        <v>681</v>
      </c>
      <c r="S121" s="33">
        <f>51135.79</f>
        <v>51135.79</v>
      </c>
      <c r="T121" s="30">
        <f>1376</f>
        <v>1376</v>
      </c>
      <c r="U121" s="30" t="str">
        <f>"－"</f>
        <v>－</v>
      </c>
      <c r="V121" s="30">
        <f>70442190</f>
        <v>70442190</v>
      </c>
      <c r="W121" s="30" t="str">
        <f>"－"</f>
        <v>－</v>
      </c>
      <c r="X121" s="34">
        <f>19</f>
        <v>19</v>
      </c>
    </row>
    <row r="122" spans="1:24">
      <c r="A122" s="25" t="s">
        <v>1078</v>
      </c>
      <c r="B122" s="25" t="s">
        <v>338</v>
      </c>
      <c r="C122" s="25" t="s">
        <v>339</v>
      </c>
      <c r="D122" s="25" t="s">
        <v>340</v>
      </c>
      <c r="E122" s="26" t="s">
        <v>43</v>
      </c>
      <c r="F122" s="27" t="s">
        <v>43</v>
      </c>
      <c r="G122" s="28" t="s">
        <v>43</v>
      </c>
      <c r="H122" s="29"/>
      <c r="I122" s="29" t="s">
        <v>44</v>
      </c>
      <c r="J122" s="30">
        <v>1</v>
      </c>
      <c r="K122" s="31">
        <f>32830</f>
        <v>32830</v>
      </c>
      <c r="L122" s="32" t="s">
        <v>675</v>
      </c>
      <c r="M122" s="31">
        <f>36450</f>
        <v>36450</v>
      </c>
      <c r="N122" s="32" t="s">
        <v>778</v>
      </c>
      <c r="O122" s="31">
        <f>32280</f>
        <v>32280</v>
      </c>
      <c r="P122" s="32" t="s">
        <v>675</v>
      </c>
      <c r="Q122" s="31">
        <f>35560</f>
        <v>35560</v>
      </c>
      <c r="R122" s="32" t="s">
        <v>681</v>
      </c>
      <c r="S122" s="33">
        <f>34797.89</f>
        <v>34797.89</v>
      </c>
      <c r="T122" s="30">
        <f>25878</f>
        <v>25878</v>
      </c>
      <c r="U122" s="30">
        <f>3017</f>
        <v>3017</v>
      </c>
      <c r="V122" s="30">
        <f>896925220</f>
        <v>896925220</v>
      </c>
      <c r="W122" s="30">
        <f>98860390</f>
        <v>98860390</v>
      </c>
      <c r="X122" s="34">
        <f>19</f>
        <v>19</v>
      </c>
    </row>
    <row r="123" spans="1:24">
      <c r="A123" s="25" t="s">
        <v>1078</v>
      </c>
      <c r="B123" s="25" t="s">
        <v>341</v>
      </c>
      <c r="C123" s="25" t="s">
        <v>342</v>
      </c>
      <c r="D123" s="25" t="s">
        <v>343</v>
      </c>
      <c r="E123" s="26" t="s">
        <v>43</v>
      </c>
      <c r="F123" s="27" t="s">
        <v>43</v>
      </c>
      <c r="G123" s="28" t="s">
        <v>43</v>
      </c>
      <c r="H123" s="29"/>
      <c r="I123" s="29" t="s">
        <v>44</v>
      </c>
      <c r="J123" s="30">
        <v>1</v>
      </c>
      <c r="K123" s="31">
        <f>31340</f>
        <v>31340</v>
      </c>
      <c r="L123" s="32" t="s">
        <v>675</v>
      </c>
      <c r="M123" s="31">
        <f>34010</f>
        <v>34010</v>
      </c>
      <c r="N123" s="32" t="s">
        <v>778</v>
      </c>
      <c r="O123" s="31">
        <f>31180</f>
        <v>31180</v>
      </c>
      <c r="P123" s="32" t="s">
        <v>675</v>
      </c>
      <c r="Q123" s="31">
        <f>33280</f>
        <v>33280</v>
      </c>
      <c r="R123" s="32" t="s">
        <v>681</v>
      </c>
      <c r="S123" s="33">
        <f>33047.37</f>
        <v>33047.370000000003</v>
      </c>
      <c r="T123" s="30">
        <f>5025</f>
        <v>5025</v>
      </c>
      <c r="U123" s="30">
        <f>2000</f>
        <v>2000</v>
      </c>
      <c r="V123" s="30">
        <f>165693560</f>
        <v>165693560</v>
      </c>
      <c r="W123" s="30">
        <f>65370200</f>
        <v>65370200</v>
      </c>
      <c r="X123" s="34">
        <f>19</f>
        <v>19</v>
      </c>
    </row>
    <row r="124" spans="1:24">
      <c r="A124" s="25" t="s">
        <v>1078</v>
      </c>
      <c r="B124" s="25" t="s">
        <v>344</v>
      </c>
      <c r="C124" s="25" t="s">
        <v>345</v>
      </c>
      <c r="D124" s="25" t="s">
        <v>346</v>
      </c>
      <c r="E124" s="26" t="s">
        <v>43</v>
      </c>
      <c r="F124" s="27" t="s">
        <v>43</v>
      </c>
      <c r="G124" s="28" t="s">
        <v>43</v>
      </c>
      <c r="H124" s="29"/>
      <c r="I124" s="29" t="s">
        <v>44</v>
      </c>
      <c r="J124" s="30">
        <v>1</v>
      </c>
      <c r="K124" s="31">
        <f>7886</f>
        <v>7886</v>
      </c>
      <c r="L124" s="32" t="s">
        <v>675</v>
      </c>
      <c r="M124" s="31">
        <f>8664</f>
        <v>8664</v>
      </c>
      <c r="N124" s="32" t="s">
        <v>760</v>
      </c>
      <c r="O124" s="31">
        <f>7777</f>
        <v>7777</v>
      </c>
      <c r="P124" s="32" t="s">
        <v>675</v>
      </c>
      <c r="Q124" s="31">
        <f>8440</f>
        <v>8440</v>
      </c>
      <c r="R124" s="32" t="s">
        <v>681</v>
      </c>
      <c r="S124" s="33">
        <f>8357.95</f>
        <v>8357.9500000000007</v>
      </c>
      <c r="T124" s="30">
        <f>31485</f>
        <v>31485</v>
      </c>
      <c r="U124" s="30">
        <f>2</f>
        <v>2</v>
      </c>
      <c r="V124" s="30">
        <f>261900009</f>
        <v>261900009</v>
      </c>
      <c r="W124" s="30">
        <f>16576</f>
        <v>16576</v>
      </c>
      <c r="X124" s="34">
        <f>19</f>
        <v>19</v>
      </c>
    </row>
    <row r="125" spans="1:24">
      <c r="A125" s="25" t="s">
        <v>1078</v>
      </c>
      <c r="B125" s="25" t="s">
        <v>347</v>
      </c>
      <c r="C125" s="25" t="s">
        <v>348</v>
      </c>
      <c r="D125" s="25" t="s">
        <v>349</v>
      </c>
      <c r="E125" s="26" t="s">
        <v>43</v>
      </c>
      <c r="F125" s="27" t="s">
        <v>43</v>
      </c>
      <c r="G125" s="28" t="s">
        <v>43</v>
      </c>
      <c r="H125" s="29"/>
      <c r="I125" s="29" t="s">
        <v>44</v>
      </c>
      <c r="J125" s="30">
        <v>1</v>
      </c>
      <c r="K125" s="31">
        <f>18575</f>
        <v>18575</v>
      </c>
      <c r="L125" s="32" t="s">
        <v>675</v>
      </c>
      <c r="M125" s="31">
        <f>20045</f>
        <v>20045</v>
      </c>
      <c r="N125" s="32" t="s">
        <v>682</v>
      </c>
      <c r="O125" s="31">
        <f>18575</f>
        <v>18575</v>
      </c>
      <c r="P125" s="32" t="s">
        <v>675</v>
      </c>
      <c r="Q125" s="31">
        <f>19530</f>
        <v>19530</v>
      </c>
      <c r="R125" s="32" t="s">
        <v>681</v>
      </c>
      <c r="S125" s="33">
        <f>19416.05</f>
        <v>19416.05</v>
      </c>
      <c r="T125" s="30">
        <f>12172</f>
        <v>12172</v>
      </c>
      <c r="U125" s="30">
        <f>3</f>
        <v>3</v>
      </c>
      <c r="V125" s="30">
        <f>235123100</f>
        <v>235123100</v>
      </c>
      <c r="W125" s="30">
        <f>59520</f>
        <v>59520</v>
      </c>
      <c r="X125" s="34">
        <f>19</f>
        <v>19</v>
      </c>
    </row>
    <row r="126" spans="1:24">
      <c r="A126" s="25" t="s">
        <v>1078</v>
      </c>
      <c r="B126" s="25" t="s">
        <v>350</v>
      </c>
      <c r="C126" s="25" t="s">
        <v>351</v>
      </c>
      <c r="D126" s="25" t="s">
        <v>352</v>
      </c>
      <c r="E126" s="26" t="s">
        <v>43</v>
      </c>
      <c r="F126" s="27" t="s">
        <v>43</v>
      </c>
      <c r="G126" s="28" t="s">
        <v>43</v>
      </c>
      <c r="H126" s="29"/>
      <c r="I126" s="29" t="s">
        <v>44</v>
      </c>
      <c r="J126" s="30">
        <v>1</v>
      </c>
      <c r="K126" s="31">
        <f>70210</f>
        <v>70210</v>
      </c>
      <c r="L126" s="32" t="s">
        <v>675</v>
      </c>
      <c r="M126" s="31">
        <f>79290</f>
        <v>79290</v>
      </c>
      <c r="N126" s="32" t="s">
        <v>778</v>
      </c>
      <c r="O126" s="31">
        <f>69500</f>
        <v>69500</v>
      </c>
      <c r="P126" s="32" t="s">
        <v>675</v>
      </c>
      <c r="Q126" s="31">
        <f>78790</f>
        <v>78790</v>
      </c>
      <c r="R126" s="32" t="s">
        <v>681</v>
      </c>
      <c r="S126" s="33">
        <f>76250</f>
        <v>76250</v>
      </c>
      <c r="T126" s="30">
        <f>21238</f>
        <v>21238</v>
      </c>
      <c r="U126" s="30">
        <f>1</f>
        <v>1</v>
      </c>
      <c r="V126" s="30">
        <f>1629310850</f>
        <v>1629310850</v>
      </c>
      <c r="W126" s="30">
        <f>77210</f>
        <v>77210</v>
      </c>
      <c r="X126" s="34">
        <f>19</f>
        <v>19</v>
      </c>
    </row>
    <row r="127" spans="1:24">
      <c r="A127" s="25" t="s">
        <v>1078</v>
      </c>
      <c r="B127" s="25" t="s">
        <v>353</v>
      </c>
      <c r="C127" s="25" t="s">
        <v>354</v>
      </c>
      <c r="D127" s="25" t="s">
        <v>355</v>
      </c>
      <c r="E127" s="26" t="s">
        <v>43</v>
      </c>
      <c r="F127" s="27" t="s">
        <v>43</v>
      </c>
      <c r="G127" s="28" t="s">
        <v>43</v>
      </c>
      <c r="H127" s="29"/>
      <c r="I127" s="29" t="s">
        <v>44</v>
      </c>
      <c r="J127" s="30">
        <v>1</v>
      </c>
      <c r="K127" s="31">
        <f>26405</f>
        <v>26405</v>
      </c>
      <c r="L127" s="32" t="s">
        <v>675</v>
      </c>
      <c r="M127" s="31">
        <f>28170</f>
        <v>28170</v>
      </c>
      <c r="N127" s="32" t="s">
        <v>682</v>
      </c>
      <c r="O127" s="31">
        <f>26270</f>
        <v>26270</v>
      </c>
      <c r="P127" s="32" t="s">
        <v>675</v>
      </c>
      <c r="Q127" s="31">
        <f>27865</f>
        <v>27865</v>
      </c>
      <c r="R127" s="32" t="s">
        <v>681</v>
      </c>
      <c r="S127" s="33">
        <f>27602.37</f>
        <v>27602.37</v>
      </c>
      <c r="T127" s="30">
        <f>9706</f>
        <v>9706</v>
      </c>
      <c r="U127" s="30">
        <f>3007</f>
        <v>3007</v>
      </c>
      <c r="V127" s="30">
        <f>267312025</f>
        <v>267312025</v>
      </c>
      <c r="W127" s="30">
        <f>82048820</f>
        <v>82048820</v>
      </c>
      <c r="X127" s="34">
        <f>19</f>
        <v>19</v>
      </c>
    </row>
    <row r="128" spans="1:24">
      <c r="A128" s="25" t="s">
        <v>1078</v>
      </c>
      <c r="B128" s="25" t="s">
        <v>356</v>
      </c>
      <c r="C128" s="25" t="s">
        <v>357</v>
      </c>
      <c r="D128" s="25" t="s">
        <v>358</v>
      </c>
      <c r="E128" s="26" t="s">
        <v>43</v>
      </c>
      <c r="F128" s="27" t="s">
        <v>43</v>
      </c>
      <c r="G128" s="28" t="s">
        <v>43</v>
      </c>
      <c r="H128" s="29"/>
      <c r="I128" s="29" t="s">
        <v>44</v>
      </c>
      <c r="J128" s="30">
        <v>1</v>
      </c>
      <c r="K128" s="31">
        <f>13730</f>
        <v>13730</v>
      </c>
      <c r="L128" s="32" t="s">
        <v>675</v>
      </c>
      <c r="M128" s="31">
        <f>15355</f>
        <v>15355</v>
      </c>
      <c r="N128" s="32" t="s">
        <v>679</v>
      </c>
      <c r="O128" s="31">
        <f>13625</f>
        <v>13625</v>
      </c>
      <c r="P128" s="32" t="s">
        <v>675</v>
      </c>
      <c r="Q128" s="31">
        <f>15345</f>
        <v>15345</v>
      </c>
      <c r="R128" s="32" t="s">
        <v>681</v>
      </c>
      <c r="S128" s="33">
        <f>14589.47</f>
        <v>14589.47</v>
      </c>
      <c r="T128" s="30">
        <f>81101</f>
        <v>81101</v>
      </c>
      <c r="U128" s="30">
        <f>18515</f>
        <v>18515</v>
      </c>
      <c r="V128" s="30">
        <f>1193569290</f>
        <v>1193569290</v>
      </c>
      <c r="W128" s="30">
        <f>277592500</f>
        <v>277592500</v>
      </c>
      <c r="X128" s="34">
        <f>19</f>
        <v>19</v>
      </c>
    </row>
    <row r="129" spans="1:24">
      <c r="A129" s="25" t="s">
        <v>1078</v>
      </c>
      <c r="B129" s="25" t="s">
        <v>359</v>
      </c>
      <c r="C129" s="25" t="s">
        <v>360</v>
      </c>
      <c r="D129" s="25" t="s">
        <v>361</v>
      </c>
      <c r="E129" s="26" t="s">
        <v>43</v>
      </c>
      <c r="F129" s="27" t="s">
        <v>43</v>
      </c>
      <c r="G129" s="28" t="s">
        <v>43</v>
      </c>
      <c r="H129" s="29"/>
      <c r="I129" s="29" t="s">
        <v>44</v>
      </c>
      <c r="J129" s="30">
        <v>1</v>
      </c>
      <c r="K129" s="31">
        <f>19600</f>
        <v>19600</v>
      </c>
      <c r="L129" s="32" t="s">
        <v>675</v>
      </c>
      <c r="M129" s="31">
        <f>21800</f>
        <v>21800</v>
      </c>
      <c r="N129" s="32" t="s">
        <v>681</v>
      </c>
      <c r="O129" s="31">
        <f>19445</f>
        <v>19445</v>
      </c>
      <c r="P129" s="32" t="s">
        <v>675</v>
      </c>
      <c r="Q129" s="31">
        <f>21800</f>
        <v>21800</v>
      </c>
      <c r="R129" s="32" t="s">
        <v>681</v>
      </c>
      <c r="S129" s="33">
        <f>21013.68</f>
        <v>21013.68</v>
      </c>
      <c r="T129" s="30">
        <f>13413</f>
        <v>13413</v>
      </c>
      <c r="U129" s="30">
        <f>23</f>
        <v>23</v>
      </c>
      <c r="V129" s="30">
        <f>275095415</f>
        <v>275095415</v>
      </c>
      <c r="W129" s="30">
        <f>486335</f>
        <v>486335</v>
      </c>
      <c r="X129" s="34">
        <f>19</f>
        <v>19</v>
      </c>
    </row>
    <row r="130" spans="1:24">
      <c r="A130" s="25" t="s">
        <v>1078</v>
      </c>
      <c r="B130" s="25" t="s">
        <v>362</v>
      </c>
      <c r="C130" s="25" t="s">
        <v>363</v>
      </c>
      <c r="D130" s="25" t="s">
        <v>364</v>
      </c>
      <c r="E130" s="26" t="s">
        <v>43</v>
      </c>
      <c r="F130" s="27" t="s">
        <v>43</v>
      </c>
      <c r="G130" s="28" t="s">
        <v>43</v>
      </c>
      <c r="H130" s="29"/>
      <c r="I130" s="29" t="s">
        <v>44</v>
      </c>
      <c r="J130" s="30">
        <v>1</v>
      </c>
      <c r="K130" s="31">
        <f>33750</f>
        <v>33750</v>
      </c>
      <c r="L130" s="32" t="s">
        <v>675</v>
      </c>
      <c r="M130" s="31">
        <f>37030</f>
        <v>37030</v>
      </c>
      <c r="N130" s="32" t="s">
        <v>778</v>
      </c>
      <c r="O130" s="31">
        <f>33590</f>
        <v>33590</v>
      </c>
      <c r="P130" s="32" t="s">
        <v>675</v>
      </c>
      <c r="Q130" s="31">
        <f>36340</f>
        <v>36340</v>
      </c>
      <c r="R130" s="32" t="s">
        <v>681</v>
      </c>
      <c r="S130" s="33">
        <f>35795.26</f>
        <v>35795.26</v>
      </c>
      <c r="T130" s="30">
        <f>7619</f>
        <v>7619</v>
      </c>
      <c r="U130" s="30">
        <f>5000</f>
        <v>5000</v>
      </c>
      <c r="V130" s="30">
        <f>272319910</f>
        <v>272319910</v>
      </c>
      <c r="W130" s="30">
        <f>178120800</f>
        <v>178120800</v>
      </c>
      <c r="X130" s="34">
        <f>19</f>
        <v>19</v>
      </c>
    </row>
    <row r="131" spans="1:24">
      <c r="A131" s="25" t="s">
        <v>1078</v>
      </c>
      <c r="B131" s="25" t="s">
        <v>365</v>
      </c>
      <c r="C131" s="25" t="s">
        <v>926</v>
      </c>
      <c r="D131" s="25" t="s">
        <v>927</v>
      </c>
      <c r="E131" s="26" t="s">
        <v>43</v>
      </c>
      <c r="F131" s="27" t="s">
        <v>43</v>
      </c>
      <c r="G131" s="28" t="s">
        <v>43</v>
      </c>
      <c r="H131" s="29"/>
      <c r="I131" s="29" t="s">
        <v>44</v>
      </c>
      <c r="J131" s="30">
        <v>10</v>
      </c>
      <c r="K131" s="31">
        <f>1627.5</f>
        <v>1627.5</v>
      </c>
      <c r="L131" s="32" t="s">
        <v>675</v>
      </c>
      <c r="M131" s="31">
        <f>1836</f>
        <v>1836</v>
      </c>
      <c r="N131" s="32" t="s">
        <v>681</v>
      </c>
      <c r="O131" s="31">
        <f>1625</f>
        <v>1625</v>
      </c>
      <c r="P131" s="32" t="s">
        <v>675</v>
      </c>
      <c r="Q131" s="31">
        <f>1836</f>
        <v>1836</v>
      </c>
      <c r="R131" s="32" t="s">
        <v>681</v>
      </c>
      <c r="S131" s="33">
        <f>1772.16</f>
        <v>1772.16</v>
      </c>
      <c r="T131" s="30">
        <f>2643830</f>
        <v>2643830</v>
      </c>
      <c r="U131" s="30">
        <f>1878460</f>
        <v>1878460</v>
      </c>
      <c r="V131" s="30">
        <f>4556511064</f>
        <v>4556511064</v>
      </c>
      <c r="W131" s="30">
        <f>3201496184</f>
        <v>3201496184</v>
      </c>
      <c r="X131" s="34">
        <f>19</f>
        <v>19</v>
      </c>
    </row>
    <row r="132" spans="1:24">
      <c r="A132" s="25" t="s">
        <v>1078</v>
      </c>
      <c r="B132" s="25" t="s">
        <v>366</v>
      </c>
      <c r="C132" s="25" t="s">
        <v>928</v>
      </c>
      <c r="D132" s="25" t="s">
        <v>929</v>
      </c>
      <c r="E132" s="26" t="s">
        <v>43</v>
      </c>
      <c r="F132" s="27" t="s">
        <v>43</v>
      </c>
      <c r="G132" s="28" t="s">
        <v>43</v>
      </c>
      <c r="H132" s="29"/>
      <c r="I132" s="29" t="s">
        <v>44</v>
      </c>
      <c r="J132" s="30">
        <v>10</v>
      </c>
      <c r="K132" s="31">
        <f>2717</f>
        <v>2717</v>
      </c>
      <c r="L132" s="32" t="s">
        <v>675</v>
      </c>
      <c r="M132" s="31">
        <f>2920.5</f>
        <v>2920.5</v>
      </c>
      <c r="N132" s="32" t="s">
        <v>778</v>
      </c>
      <c r="O132" s="31">
        <f>2704</f>
        <v>2704</v>
      </c>
      <c r="P132" s="32" t="s">
        <v>675</v>
      </c>
      <c r="Q132" s="31">
        <f>2906</f>
        <v>2906</v>
      </c>
      <c r="R132" s="32" t="s">
        <v>681</v>
      </c>
      <c r="S132" s="33">
        <f>2849</f>
        <v>2849</v>
      </c>
      <c r="T132" s="30">
        <f>60370</f>
        <v>60370</v>
      </c>
      <c r="U132" s="30" t="str">
        <f>"－"</f>
        <v>－</v>
      </c>
      <c r="V132" s="30">
        <f>172668920</f>
        <v>172668920</v>
      </c>
      <c r="W132" s="30" t="str">
        <f>"－"</f>
        <v>－</v>
      </c>
      <c r="X132" s="34">
        <f>19</f>
        <v>19</v>
      </c>
    </row>
    <row r="133" spans="1:24">
      <c r="A133" s="25" t="s">
        <v>1078</v>
      </c>
      <c r="B133" s="25" t="s">
        <v>367</v>
      </c>
      <c r="C133" s="25" t="s">
        <v>930</v>
      </c>
      <c r="D133" s="25" t="s">
        <v>931</v>
      </c>
      <c r="E133" s="26" t="s">
        <v>43</v>
      </c>
      <c r="F133" s="27" t="s">
        <v>43</v>
      </c>
      <c r="G133" s="28" t="s">
        <v>43</v>
      </c>
      <c r="H133" s="29"/>
      <c r="I133" s="29" t="s">
        <v>44</v>
      </c>
      <c r="J133" s="30">
        <v>10</v>
      </c>
      <c r="K133" s="31">
        <f>2993.5</f>
        <v>2993.5</v>
      </c>
      <c r="L133" s="32" t="s">
        <v>675</v>
      </c>
      <c r="M133" s="31">
        <f>3220</f>
        <v>3220</v>
      </c>
      <c r="N133" s="32" t="s">
        <v>778</v>
      </c>
      <c r="O133" s="31">
        <f>2993.5</f>
        <v>2993.5</v>
      </c>
      <c r="P133" s="32" t="s">
        <v>675</v>
      </c>
      <c r="Q133" s="31">
        <f>3194</f>
        <v>3194</v>
      </c>
      <c r="R133" s="32" t="s">
        <v>777</v>
      </c>
      <c r="S133" s="33">
        <f>3139.67</f>
        <v>3139.67</v>
      </c>
      <c r="T133" s="30">
        <f>176010</f>
        <v>176010</v>
      </c>
      <c r="U133" s="30">
        <f>147000</f>
        <v>147000</v>
      </c>
      <c r="V133" s="30">
        <f>562034350</f>
        <v>562034350</v>
      </c>
      <c r="W133" s="30">
        <f>471198300</f>
        <v>471198300</v>
      </c>
      <c r="X133" s="34">
        <f>18</f>
        <v>18</v>
      </c>
    </row>
    <row r="134" spans="1:24">
      <c r="A134" s="25" t="s">
        <v>1078</v>
      </c>
      <c r="B134" s="25" t="s">
        <v>368</v>
      </c>
      <c r="C134" s="25" t="s">
        <v>932</v>
      </c>
      <c r="D134" s="25" t="s">
        <v>933</v>
      </c>
      <c r="E134" s="26" t="s">
        <v>43</v>
      </c>
      <c r="F134" s="27" t="s">
        <v>43</v>
      </c>
      <c r="G134" s="28" t="s">
        <v>43</v>
      </c>
      <c r="H134" s="29"/>
      <c r="I134" s="29" t="s">
        <v>44</v>
      </c>
      <c r="J134" s="30">
        <v>10</v>
      </c>
      <c r="K134" s="31">
        <f>1866</f>
        <v>1866</v>
      </c>
      <c r="L134" s="32" t="s">
        <v>675</v>
      </c>
      <c r="M134" s="31">
        <f>2030.5</f>
        <v>2030.5</v>
      </c>
      <c r="N134" s="32" t="s">
        <v>778</v>
      </c>
      <c r="O134" s="31">
        <f>1866</f>
        <v>1866</v>
      </c>
      <c r="P134" s="32" t="s">
        <v>675</v>
      </c>
      <c r="Q134" s="31">
        <f>2002</f>
        <v>2002</v>
      </c>
      <c r="R134" s="32" t="s">
        <v>777</v>
      </c>
      <c r="S134" s="33">
        <f>1969.86</f>
        <v>1969.86</v>
      </c>
      <c r="T134" s="30">
        <f>36170</f>
        <v>36170</v>
      </c>
      <c r="U134" s="30">
        <f>25000</f>
        <v>25000</v>
      </c>
      <c r="V134" s="30">
        <f>71453995</f>
        <v>71453995</v>
      </c>
      <c r="W134" s="30">
        <f>49635000</f>
        <v>49635000</v>
      </c>
      <c r="X134" s="34">
        <f>18</f>
        <v>18</v>
      </c>
    </row>
    <row r="135" spans="1:24">
      <c r="A135" s="25" t="s">
        <v>1078</v>
      </c>
      <c r="B135" s="25" t="s">
        <v>369</v>
      </c>
      <c r="C135" s="25" t="s">
        <v>370</v>
      </c>
      <c r="D135" s="25" t="s">
        <v>371</v>
      </c>
      <c r="E135" s="26" t="s">
        <v>43</v>
      </c>
      <c r="F135" s="27" t="s">
        <v>43</v>
      </c>
      <c r="G135" s="28" t="s">
        <v>43</v>
      </c>
      <c r="H135" s="29"/>
      <c r="I135" s="29" t="s">
        <v>44</v>
      </c>
      <c r="J135" s="30">
        <v>10</v>
      </c>
      <c r="K135" s="31">
        <f>486.6</f>
        <v>486.6</v>
      </c>
      <c r="L135" s="32" t="s">
        <v>675</v>
      </c>
      <c r="M135" s="31">
        <f>525.2</f>
        <v>525.20000000000005</v>
      </c>
      <c r="N135" s="32" t="s">
        <v>777</v>
      </c>
      <c r="O135" s="31">
        <f>485.8</f>
        <v>485.8</v>
      </c>
      <c r="P135" s="32" t="s">
        <v>675</v>
      </c>
      <c r="Q135" s="31">
        <f>523.9</f>
        <v>523.9</v>
      </c>
      <c r="R135" s="32" t="s">
        <v>681</v>
      </c>
      <c r="S135" s="33">
        <f>509.49</f>
        <v>509.49</v>
      </c>
      <c r="T135" s="30">
        <f>43252130</f>
        <v>43252130</v>
      </c>
      <c r="U135" s="30">
        <f>1202770</f>
        <v>1202770</v>
      </c>
      <c r="V135" s="30">
        <f>22030656588</f>
        <v>22030656588</v>
      </c>
      <c r="W135" s="30">
        <f>617769493</f>
        <v>617769493</v>
      </c>
      <c r="X135" s="34">
        <f>19</f>
        <v>19</v>
      </c>
    </row>
    <row r="136" spans="1:24">
      <c r="A136" s="25" t="s">
        <v>1078</v>
      </c>
      <c r="B136" s="25" t="s">
        <v>372</v>
      </c>
      <c r="C136" s="25" t="s">
        <v>373</v>
      </c>
      <c r="D136" s="25" t="s">
        <v>374</v>
      </c>
      <c r="E136" s="26" t="s">
        <v>43</v>
      </c>
      <c r="F136" s="27" t="s">
        <v>43</v>
      </c>
      <c r="G136" s="28" t="s">
        <v>43</v>
      </c>
      <c r="H136" s="29"/>
      <c r="I136" s="29" t="s">
        <v>44</v>
      </c>
      <c r="J136" s="30">
        <v>10</v>
      </c>
      <c r="K136" s="31">
        <f>288.2</f>
        <v>288.2</v>
      </c>
      <c r="L136" s="32" t="s">
        <v>675</v>
      </c>
      <c r="M136" s="31">
        <f>294.7</f>
        <v>294.7</v>
      </c>
      <c r="N136" s="32" t="s">
        <v>681</v>
      </c>
      <c r="O136" s="31">
        <f>287.1</f>
        <v>287.10000000000002</v>
      </c>
      <c r="P136" s="32" t="s">
        <v>876</v>
      </c>
      <c r="Q136" s="31">
        <f>294.7</f>
        <v>294.7</v>
      </c>
      <c r="R136" s="32" t="s">
        <v>681</v>
      </c>
      <c r="S136" s="33">
        <f>291.67</f>
        <v>291.67</v>
      </c>
      <c r="T136" s="30">
        <f>32046690</f>
        <v>32046690</v>
      </c>
      <c r="U136" s="30">
        <f>24988100</f>
        <v>24988100</v>
      </c>
      <c r="V136" s="30">
        <f>9351280043</f>
        <v>9351280043</v>
      </c>
      <c r="W136" s="30">
        <f>7296914202</f>
        <v>7296914202</v>
      </c>
      <c r="X136" s="34">
        <f>19</f>
        <v>19</v>
      </c>
    </row>
    <row r="137" spans="1:24">
      <c r="A137" s="25" t="s">
        <v>1078</v>
      </c>
      <c r="B137" s="25" t="s">
        <v>375</v>
      </c>
      <c r="C137" s="25" t="s">
        <v>973</v>
      </c>
      <c r="D137" s="25" t="s">
        <v>376</v>
      </c>
      <c r="E137" s="26" t="s">
        <v>43</v>
      </c>
      <c r="F137" s="27" t="s">
        <v>43</v>
      </c>
      <c r="G137" s="28" t="s">
        <v>43</v>
      </c>
      <c r="H137" s="29"/>
      <c r="I137" s="29" t="s">
        <v>44</v>
      </c>
      <c r="J137" s="30">
        <v>1</v>
      </c>
      <c r="K137" s="31">
        <f>4155</f>
        <v>4155</v>
      </c>
      <c r="L137" s="32" t="s">
        <v>675</v>
      </c>
      <c r="M137" s="31">
        <f>4450</f>
        <v>4450</v>
      </c>
      <c r="N137" s="32" t="s">
        <v>777</v>
      </c>
      <c r="O137" s="31">
        <f>4130</f>
        <v>4130</v>
      </c>
      <c r="P137" s="32" t="s">
        <v>677</v>
      </c>
      <c r="Q137" s="31">
        <f>4440</f>
        <v>4440</v>
      </c>
      <c r="R137" s="32" t="s">
        <v>681</v>
      </c>
      <c r="S137" s="33">
        <f>4323.68</f>
        <v>4323.68</v>
      </c>
      <c r="T137" s="30">
        <f>236023</f>
        <v>236023</v>
      </c>
      <c r="U137" s="30">
        <f>141475</f>
        <v>141475</v>
      </c>
      <c r="V137" s="30">
        <f>1034230184</f>
        <v>1034230184</v>
      </c>
      <c r="W137" s="30">
        <f>628453939</f>
        <v>628453939</v>
      </c>
      <c r="X137" s="34">
        <f>19</f>
        <v>19</v>
      </c>
    </row>
    <row r="138" spans="1:24">
      <c r="A138" s="25" t="s">
        <v>1078</v>
      </c>
      <c r="B138" s="25" t="s">
        <v>377</v>
      </c>
      <c r="C138" s="25" t="s">
        <v>378</v>
      </c>
      <c r="D138" s="25" t="s">
        <v>379</v>
      </c>
      <c r="E138" s="26" t="s">
        <v>43</v>
      </c>
      <c r="F138" s="27" t="s">
        <v>43</v>
      </c>
      <c r="G138" s="28" t="s">
        <v>43</v>
      </c>
      <c r="H138" s="29"/>
      <c r="I138" s="29" t="s">
        <v>44</v>
      </c>
      <c r="J138" s="30">
        <v>1</v>
      </c>
      <c r="K138" s="31">
        <f>2421</f>
        <v>2421</v>
      </c>
      <c r="L138" s="32" t="s">
        <v>675</v>
      </c>
      <c r="M138" s="31">
        <f>2480</f>
        <v>2480</v>
      </c>
      <c r="N138" s="32" t="s">
        <v>777</v>
      </c>
      <c r="O138" s="31">
        <f>2341</f>
        <v>2341</v>
      </c>
      <c r="P138" s="32" t="s">
        <v>759</v>
      </c>
      <c r="Q138" s="31">
        <f>2437</f>
        <v>2437</v>
      </c>
      <c r="R138" s="32" t="s">
        <v>681</v>
      </c>
      <c r="S138" s="33">
        <f>2436.89</f>
        <v>2436.89</v>
      </c>
      <c r="T138" s="30">
        <f>98284</f>
        <v>98284</v>
      </c>
      <c r="U138" s="30">
        <f>4106</f>
        <v>4106</v>
      </c>
      <c r="V138" s="30">
        <f>239247382</f>
        <v>239247382</v>
      </c>
      <c r="W138" s="30">
        <f>9993993</f>
        <v>9993993</v>
      </c>
      <c r="X138" s="34">
        <f>19</f>
        <v>19</v>
      </c>
    </row>
    <row r="139" spans="1:24">
      <c r="A139" s="25" t="s">
        <v>1078</v>
      </c>
      <c r="B139" s="25" t="s">
        <v>380</v>
      </c>
      <c r="C139" s="25" t="s">
        <v>381</v>
      </c>
      <c r="D139" s="25" t="s">
        <v>382</v>
      </c>
      <c r="E139" s="26" t="s">
        <v>43</v>
      </c>
      <c r="F139" s="27" t="s">
        <v>43</v>
      </c>
      <c r="G139" s="28" t="s">
        <v>43</v>
      </c>
      <c r="H139" s="29"/>
      <c r="I139" s="29" t="s">
        <v>44</v>
      </c>
      <c r="J139" s="30">
        <v>1</v>
      </c>
      <c r="K139" s="31">
        <f>2872</f>
        <v>2872</v>
      </c>
      <c r="L139" s="32" t="s">
        <v>675</v>
      </c>
      <c r="M139" s="31">
        <f>2954</f>
        <v>2954</v>
      </c>
      <c r="N139" s="32" t="s">
        <v>682</v>
      </c>
      <c r="O139" s="31">
        <f>2866</f>
        <v>2866</v>
      </c>
      <c r="P139" s="32" t="s">
        <v>675</v>
      </c>
      <c r="Q139" s="31">
        <f>2920</f>
        <v>2920</v>
      </c>
      <c r="R139" s="32" t="s">
        <v>681</v>
      </c>
      <c r="S139" s="33">
        <f>2918.84</f>
        <v>2918.84</v>
      </c>
      <c r="T139" s="30">
        <f>194533</f>
        <v>194533</v>
      </c>
      <c r="U139" s="30">
        <f>18</f>
        <v>18</v>
      </c>
      <c r="V139" s="30">
        <f>567560010</f>
        <v>567560010</v>
      </c>
      <c r="W139" s="30">
        <f>49591</f>
        <v>49591</v>
      </c>
      <c r="X139" s="34">
        <f>19</f>
        <v>19</v>
      </c>
    </row>
    <row r="140" spans="1:24">
      <c r="A140" s="25" t="s">
        <v>1078</v>
      </c>
      <c r="B140" s="25" t="s">
        <v>383</v>
      </c>
      <c r="C140" s="25" t="s">
        <v>384</v>
      </c>
      <c r="D140" s="25" t="s">
        <v>385</v>
      </c>
      <c r="E140" s="26" t="s">
        <v>43</v>
      </c>
      <c r="F140" s="27" t="s">
        <v>43</v>
      </c>
      <c r="G140" s="28" t="s">
        <v>43</v>
      </c>
      <c r="H140" s="29"/>
      <c r="I140" s="29" t="s">
        <v>44</v>
      </c>
      <c r="J140" s="30">
        <v>1</v>
      </c>
      <c r="K140" s="31">
        <f>10435</f>
        <v>10435</v>
      </c>
      <c r="L140" s="32" t="s">
        <v>675</v>
      </c>
      <c r="M140" s="31">
        <f>10545</f>
        <v>10545</v>
      </c>
      <c r="N140" s="32" t="s">
        <v>778</v>
      </c>
      <c r="O140" s="31">
        <f>10300</f>
        <v>10300</v>
      </c>
      <c r="P140" s="32" t="s">
        <v>678</v>
      </c>
      <c r="Q140" s="31">
        <f>10375</f>
        <v>10375</v>
      </c>
      <c r="R140" s="32" t="s">
        <v>681</v>
      </c>
      <c r="S140" s="33">
        <f>10411.32</f>
        <v>10411.32</v>
      </c>
      <c r="T140" s="30">
        <f>183777</f>
        <v>183777</v>
      </c>
      <c r="U140" s="30">
        <f>122162</f>
        <v>122162</v>
      </c>
      <c r="V140" s="30">
        <f>1915893523</f>
        <v>1915893523</v>
      </c>
      <c r="W140" s="30">
        <f>1274165793</f>
        <v>1274165793</v>
      </c>
      <c r="X140" s="34">
        <f>19</f>
        <v>19</v>
      </c>
    </row>
    <row r="141" spans="1:24">
      <c r="A141" s="25" t="s">
        <v>1078</v>
      </c>
      <c r="B141" s="25" t="s">
        <v>386</v>
      </c>
      <c r="C141" s="25" t="s">
        <v>387</v>
      </c>
      <c r="D141" s="25" t="s">
        <v>388</v>
      </c>
      <c r="E141" s="26" t="s">
        <v>43</v>
      </c>
      <c r="F141" s="27" t="s">
        <v>43</v>
      </c>
      <c r="G141" s="28" t="s">
        <v>43</v>
      </c>
      <c r="H141" s="29"/>
      <c r="I141" s="29" t="s">
        <v>44</v>
      </c>
      <c r="J141" s="30">
        <v>1</v>
      </c>
      <c r="K141" s="31">
        <f>2685</f>
        <v>2685</v>
      </c>
      <c r="L141" s="32" t="s">
        <v>675</v>
      </c>
      <c r="M141" s="31">
        <f>3010</f>
        <v>3010</v>
      </c>
      <c r="N141" s="32" t="s">
        <v>883</v>
      </c>
      <c r="O141" s="31">
        <f>2618</f>
        <v>2618</v>
      </c>
      <c r="P141" s="32" t="s">
        <v>876</v>
      </c>
      <c r="Q141" s="31">
        <f>2952</f>
        <v>2952</v>
      </c>
      <c r="R141" s="32" t="s">
        <v>681</v>
      </c>
      <c r="S141" s="33">
        <f>2796.84</f>
        <v>2796.84</v>
      </c>
      <c r="T141" s="30">
        <f>5764598</f>
        <v>5764598</v>
      </c>
      <c r="U141" s="30">
        <f>521</f>
        <v>521</v>
      </c>
      <c r="V141" s="30">
        <f>16137674433</f>
        <v>16137674433</v>
      </c>
      <c r="W141" s="30">
        <f>1394964</f>
        <v>1394964</v>
      </c>
      <c r="X141" s="34">
        <f>19</f>
        <v>19</v>
      </c>
    </row>
    <row r="142" spans="1:24">
      <c r="A142" s="25" t="s">
        <v>1078</v>
      </c>
      <c r="B142" s="25" t="s">
        <v>389</v>
      </c>
      <c r="C142" s="25" t="s">
        <v>390</v>
      </c>
      <c r="D142" s="25" t="s">
        <v>391</v>
      </c>
      <c r="E142" s="26" t="s">
        <v>43</v>
      </c>
      <c r="F142" s="27" t="s">
        <v>43</v>
      </c>
      <c r="G142" s="28" t="s">
        <v>43</v>
      </c>
      <c r="H142" s="29"/>
      <c r="I142" s="29" t="s">
        <v>44</v>
      </c>
      <c r="J142" s="30">
        <v>1</v>
      </c>
      <c r="K142" s="31">
        <f>27345</f>
        <v>27345</v>
      </c>
      <c r="L142" s="32" t="s">
        <v>675</v>
      </c>
      <c r="M142" s="31">
        <f>28165</f>
        <v>28165</v>
      </c>
      <c r="N142" s="32" t="s">
        <v>778</v>
      </c>
      <c r="O142" s="31">
        <f>27290</f>
        <v>27290</v>
      </c>
      <c r="P142" s="32" t="s">
        <v>675</v>
      </c>
      <c r="Q142" s="31">
        <f>28145</f>
        <v>28145</v>
      </c>
      <c r="R142" s="32" t="s">
        <v>681</v>
      </c>
      <c r="S142" s="33">
        <f>27872.37</f>
        <v>27872.37</v>
      </c>
      <c r="T142" s="30">
        <f>5661</f>
        <v>5661</v>
      </c>
      <c r="U142" s="30" t="str">
        <f>"－"</f>
        <v>－</v>
      </c>
      <c r="V142" s="30">
        <f>157484030</f>
        <v>157484030</v>
      </c>
      <c r="W142" s="30" t="str">
        <f>"－"</f>
        <v>－</v>
      </c>
      <c r="X142" s="34">
        <f>19</f>
        <v>19</v>
      </c>
    </row>
    <row r="143" spans="1:24">
      <c r="A143" s="25" t="s">
        <v>1078</v>
      </c>
      <c r="B143" s="25" t="s">
        <v>392</v>
      </c>
      <c r="C143" s="25" t="s">
        <v>393</v>
      </c>
      <c r="D143" s="25" t="s">
        <v>394</v>
      </c>
      <c r="E143" s="26" t="s">
        <v>43</v>
      </c>
      <c r="F143" s="27" t="s">
        <v>43</v>
      </c>
      <c r="G143" s="28" t="s">
        <v>43</v>
      </c>
      <c r="H143" s="29"/>
      <c r="I143" s="29" t="s">
        <v>44</v>
      </c>
      <c r="J143" s="30">
        <v>10</v>
      </c>
      <c r="K143" s="31">
        <f>3055</f>
        <v>3055</v>
      </c>
      <c r="L143" s="32" t="s">
        <v>675</v>
      </c>
      <c r="M143" s="31">
        <f>3150</f>
        <v>3150</v>
      </c>
      <c r="N143" s="32" t="s">
        <v>777</v>
      </c>
      <c r="O143" s="31">
        <f>3002</f>
        <v>3002</v>
      </c>
      <c r="P143" s="32" t="s">
        <v>675</v>
      </c>
      <c r="Q143" s="31">
        <f>3130</f>
        <v>3130</v>
      </c>
      <c r="R143" s="32" t="s">
        <v>681</v>
      </c>
      <c r="S143" s="33">
        <f>3088.26</f>
        <v>3088.26</v>
      </c>
      <c r="T143" s="30">
        <f>38740</f>
        <v>38740</v>
      </c>
      <c r="U143" s="30" t="str">
        <f>"－"</f>
        <v>－</v>
      </c>
      <c r="V143" s="30">
        <f>119336860</f>
        <v>119336860</v>
      </c>
      <c r="W143" s="30" t="str">
        <f>"－"</f>
        <v>－</v>
      </c>
      <c r="X143" s="34">
        <f>19</f>
        <v>19</v>
      </c>
    </row>
    <row r="144" spans="1:24">
      <c r="A144" s="25" t="s">
        <v>1078</v>
      </c>
      <c r="B144" s="25" t="s">
        <v>395</v>
      </c>
      <c r="C144" s="25" t="s">
        <v>396</v>
      </c>
      <c r="D144" s="25" t="s">
        <v>397</v>
      </c>
      <c r="E144" s="26" t="s">
        <v>43</v>
      </c>
      <c r="F144" s="27" t="s">
        <v>43</v>
      </c>
      <c r="G144" s="28" t="s">
        <v>43</v>
      </c>
      <c r="H144" s="29"/>
      <c r="I144" s="29" t="s">
        <v>44</v>
      </c>
      <c r="J144" s="30">
        <v>1</v>
      </c>
      <c r="K144" s="31">
        <f>12895</f>
        <v>12895</v>
      </c>
      <c r="L144" s="32" t="s">
        <v>675</v>
      </c>
      <c r="M144" s="31">
        <f>12895</f>
        <v>12895</v>
      </c>
      <c r="N144" s="32" t="s">
        <v>675</v>
      </c>
      <c r="O144" s="31">
        <f>12090</f>
        <v>12090</v>
      </c>
      <c r="P144" s="32" t="s">
        <v>678</v>
      </c>
      <c r="Q144" s="31">
        <f>12475</f>
        <v>12475</v>
      </c>
      <c r="R144" s="32" t="s">
        <v>681</v>
      </c>
      <c r="S144" s="33">
        <f>12417.37</f>
        <v>12417.37</v>
      </c>
      <c r="T144" s="30">
        <f>12176</f>
        <v>12176</v>
      </c>
      <c r="U144" s="30" t="str">
        <f>"－"</f>
        <v>－</v>
      </c>
      <c r="V144" s="30">
        <f>150909275</f>
        <v>150909275</v>
      </c>
      <c r="W144" s="30" t="str">
        <f>"－"</f>
        <v>－</v>
      </c>
      <c r="X144" s="34">
        <f>19</f>
        <v>19</v>
      </c>
    </row>
    <row r="145" spans="1:24">
      <c r="A145" s="25" t="s">
        <v>1078</v>
      </c>
      <c r="B145" s="25" t="s">
        <v>398</v>
      </c>
      <c r="C145" s="25" t="s">
        <v>399</v>
      </c>
      <c r="D145" s="25" t="s">
        <v>400</v>
      </c>
      <c r="E145" s="26" t="s">
        <v>43</v>
      </c>
      <c r="F145" s="27" t="s">
        <v>43</v>
      </c>
      <c r="G145" s="28" t="s">
        <v>43</v>
      </c>
      <c r="H145" s="29"/>
      <c r="I145" s="29" t="s">
        <v>44</v>
      </c>
      <c r="J145" s="30">
        <v>1</v>
      </c>
      <c r="K145" s="31">
        <f>14460</f>
        <v>14460</v>
      </c>
      <c r="L145" s="32" t="s">
        <v>675</v>
      </c>
      <c r="M145" s="31">
        <f>15075</f>
        <v>15075</v>
      </c>
      <c r="N145" s="32" t="s">
        <v>675</v>
      </c>
      <c r="O145" s="31">
        <f>12900</f>
        <v>12900</v>
      </c>
      <c r="P145" s="32" t="s">
        <v>678</v>
      </c>
      <c r="Q145" s="31">
        <f>13370</f>
        <v>13370</v>
      </c>
      <c r="R145" s="32" t="s">
        <v>681</v>
      </c>
      <c r="S145" s="33">
        <f>13472.63</f>
        <v>13472.63</v>
      </c>
      <c r="T145" s="30">
        <f>14638</f>
        <v>14638</v>
      </c>
      <c r="U145" s="30" t="str">
        <f>"－"</f>
        <v>－</v>
      </c>
      <c r="V145" s="30">
        <f>196501060</f>
        <v>196501060</v>
      </c>
      <c r="W145" s="30" t="str">
        <f>"－"</f>
        <v>－</v>
      </c>
      <c r="X145" s="34">
        <f>19</f>
        <v>19</v>
      </c>
    </row>
    <row r="146" spans="1:24">
      <c r="A146" s="25" t="s">
        <v>1078</v>
      </c>
      <c r="B146" s="25" t="s">
        <v>401</v>
      </c>
      <c r="C146" s="25" t="s">
        <v>402</v>
      </c>
      <c r="D146" s="25" t="s">
        <v>403</v>
      </c>
      <c r="E146" s="26" t="s">
        <v>43</v>
      </c>
      <c r="F146" s="27" t="s">
        <v>43</v>
      </c>
      <c r="G146" s="28" t="s">
        <v>43</v>
      </c>
      <c r="H146" s="29"/>
      <c r="I146" s="29" t="s">
        <v>44</v>
      </c>
      <c r="J146" s="30">
        <v>1</v>
      </c>
      <c r="K146" s="31">
        <f>18315</f>
        <v>18315</v>
      </c>
      <c r="L146" s="32" t="s">
        <v>675</v>
      </c>
      <c r="M146" s="31">
        <f>19825</f>
        <v>19825</v>
      </c>
      <c r="N146" s="32" t="s">
        <v>675</v>
      </c>
      <c r="O146" s="31">
        <f>18305</f>
        <v>18305</v>
      </c>
      <c r="P146" s="32" t="s">
        <v>675</v>
      </c>
      <c r="Q146" s="31">
        <f>19140</f>
        <v>19140</v>
      </c>
      <c r="R146" s="32" t="s">
        <v>681</v>
      </c>
      <c r="S146" s="33">
        <f>18890.77</f>
        <v>18890.77</v>
      </c>
      <c r="T146" s="30">
        <f>194</f>
        <v>194</v>
      </c>
      <c r="U146" s="30" t="str">
        <f>"－"</f>
        <v>－</v>
      </c>
      <c r="V146" s="30">
        <f>3682655</f>
        <v>3682655</v>
      </c>
      <c r="W146" s="30" t="str">
        <f>"－"</f>
        <v>－</v>
      </c>
      <c r="X146" s="34">
        <f>13</f>
        <v>13</v>
      </c>
    </row>
    <row r="147" spans="1:24">
      <c r="A147" s="25" t="s">
        <v>1078</v>
      </c>
      <c r="B147" s="25" t="s">
        <v>404</v>
      </c>
      <c r="C147" s="25" t="s">
        <v>405</v>
      </c>
      <c r="D147" s="25" t="s">
        <v>406</v>
      </c>
      <c r="E147" s="26" t="s">
        <v>43</v>
      </c>
      <c r="F147" s="27" t="s">
        <v>43</v>
      </c>
      <c r="G147" s="28" t="s">
        <v>43</v>
      </c>
      <c r="H147" s="29"/>
      <c r="I147" s="29" t="s">
        <v>44</v>
      </c>
      <c r="J147" s="30">
        <v>10</v>
      </c>
      <c r="K147" s="31">
        <f>53290</f>
        <v>53290</v>
      </c>
      <c r="L147" s="32" t="s">
        <v>675</v>
      </c>
      <c r="M147" s="31">
        <f>54890</f>
        <v>54890</v>
      </c>
      <c r="N147" s="32" t="s">
        <v>778</v>
      </c>
      <c r="O147" s="31">
        <f>53290</f>
        <v>53290</v>
      </c>
      <c r="P147" s="32" t="s">
        <v>675</v>
      </c>
      <c r="Q147" s="31">
        <f>54790</f>
        <v>54790</v>
      </c>
      <c r="R147" s="32" t="s">
        <v>681</v>
      </c>
      <c r="S147" s="33">
        <f>54332.11</f>
        <v>54332.11</v>
      </c>
      <c r="T147" s="30">
        <f>22180</f>
        <v>22180</v>
      </c>
      <c r="U147" s="30">
        <f>17030</f>
        <v>17030</v>
      </c>
      <c r="V147" s="30">
        <f>1209802800</f>
        <v>1209802800</v>
      </c>
      <c r="W147" s="30">
        <f>931054800</f>
        <v>931054800</v>
      </c>
      <c r="X147" s="34">
        <f>19</f>
        <v>19</v>
      </c>
    </row>
    <row r="148" spans="1:24">
      <c r="A148" s="25" t="s">
        <v>1078</v>
      </c>
      <c r="B148" s="25" t="s">
        <v>407</v>
      </c>
      <c r="C148" s="25" t="s">
        <v>974</v>
      </c>
      <c r="D148" s="25" t="s">
        <v>408</v>
      </c>
      <c r="E148" s="26" t="s">
        <v>43</v>
      </c>
      <c r="F148" s="27" t="s">
        <v>43</v>
      </c>
      <c r="G148" s="28" t="s">
        <v>43</v>
      </c>
      <c r="H148" s="29"/>
      <c r="I148" s="29" t="s">
        <v>44</v>
      </c>
      <c r="J148" s="30">
        <v>10</v>
      </c>
      <c r="K148" s="31">
        <f>327.1</f>
        <v>327.10000000000002</v>
      </c>
      <c r="L148" s="32" t="s">
        <v>675</v>
      </c>
      <c r="M148" s="31">
        <f>343.3</f>
        <v>343.3</v>
      </c>
      <c r="N148" s="32" t="s">
        <v>760</v>
      </c>
      <c r="O148" s="31">
        <f>324.9</f>
        <v>324.89999999999998</v>
      </c>
      <c r="P148" s="32" t="s">
        <v>675</v>
      </c>
      <c r="Q148" s="31">
        <f>339.3</f>
        <v>339.3</v>
      </c>
      <c r="R148" s="32" t="s">
        <v>681</v>
      </c>
      <c r="S148" s="33">
        <f>336.32</f>
        <v>336.32</v>
      </c>
      <c r="T148" s="30">
        <f>54061320</f>
        <v>54061320</v>
      </c>
      <c r="U148" s="30">
        <f>445640</f>
        <v>445640</v>
      </c>
      <c r="V148" s="30">
        <f>18162966698</f>
        <v>18162966698</v>
      </c>
      <c r="W148" s="30">
        <f>147933730</f>
        <v>147933730</v>
      </c>
      <c r="X148" s="34">
        <f>19</f>
        <v>19</v>
      </c>
    </row>
    <row r="149" spans="1:24">
      <c r="A149" s="25" t="s">
        <v>1078</v>
      </c>
      <c r="B149" s="25" t="s">
        <v>409</v>
      </c>
      <c r="C149" s="25" t="s">
        <v>975</v>
      </c>
      <c r="D149" s="25" t="s">
        <v>410</v>
      </c>
      <c r="E149" s="26" t="s">
        <v>43</v>
      </c>
      <c r="F149" s="27" t="s">
        <v>43</v>
      </c>
      <c r="G149" s="28" t="s">
        <v>43</v>
      </c>
      <c r="H149" s="29"/>
      <c r="I149" s="29" t="s">
        <v>44</v>
      </c>
      <c r="J149" s="30">
        <v>10</v>
      </c>
      <c r="K149" s="31">
        <f>44850</f>
        <v>44850</v>
      </c>
      <c r="L149" s="32" t="s">
        <v>675</v>
      </c>
      <c r="M149" s="31">
        <f>47500</f>
        <v>47500</v>
      </c>
      <c r="N149" s="32" t="s">
        <v>681</v>
      </c>
      <c r="O149" s="31">
        <f>44690</f>
        <v>44690</v>
      </c>
      <c r="P149" s="32" t="s">
        <v>675</v>
      </c>
      <c r="Q149" s="31">
        <f>47500</f>
        <v>47500</v>
      </c>
      <c r="R149" s="32" t="s">
        <v>681</v>
      </c>
      <c r="S149" s="33">
        <f>46230.53</f>
        <v>46230.53</v>
      </c>
      <c r="T149" s="30">
        <f>2960</f>
        <v>2960</v>
      </c>
      <c r="U149" s="30">
        <f>10</f>
        <v>10</v>
      </c>
      <c r="V149" s="30">
        <f>135779000</f>
        <v>135779000</v>
      </c>
      <c r="W149" s="30">
        <f>453000</f>
        <v>453000</v>
      </c>
      <c r="X149" s="34">
        <f>19</f>
        <v>19</v>
      </c>
    </row>
    <row r="150" spans="1:24">
      <c r="A150" s="25" t="s">
        <v>1078</v>
      </c>
      <c r="B150" s="25" t="s">
        <v>411</v>
      </c>
      <c r="C150" s="25" t="s">
        <v>412</v>
      </c>
      <c r="D150" s="25" t="s">
        <v>976</v>
      </c>
      <c r="E150" s="26" t="s">
        <v>43</v>
      </c>
      <c r="F150" s="27" t="s">
        <v>43</v>
      </c>
      <c r="G150" s="28" t="s">
        <v>43</v>
      </c>
      <c r="H150" s="29"/>
      <c r="I150" s="29" t="s">
        <v>44</v>
      </c>
      <c r="J150" s="30">
        <v>10</v>
      </c>
      <c r="K150" s="31">
        <f>4770</f>
        <v>4770</v>
      </c>
      <c r="L150" s="32" t="s">
        <v>675</v>
      </c>
      <c r="M150" s="31">
        <f>5040</f>
        <v>5040</v>
      </c>
      <c r="N150" s="32" t="s">
        <v>777</v>
      </c>
      <c r="O150" s="31">
        <f>4758</f>
        <v>4758</v>
      </c>
      <c r="P150" s="32" t="s">
        <v>675</v>
      </c>
      <c r="Q150" s="31">
        <f>5024</f>
        <v>5024</v>
      </c>
      <c r="R150" s="32" t="s">
        <v>681</v>
      </c>
      <c r="S150" s="33">
        <f>4933.74</f>
        <v>4933.74</v>
      </c>
      <c r="T150" s="30">
        <f>107930</f>
        <v>107930</v>
      </c>
      <c r="U150" s="30">
        <f>200</f>
        <v>200</v>
      </c>
      <c r="V150" s="30">
        <f>530021810</f>
        <v>530021810</v>
      </c>
      <c r="W150" s="30">
        <f>1007000</f>
        <v>1007000</v>
      </c>
      <c r="X150" s="34">
        <f>19</f>
        <v>19</v>
      </c>
    </row>
    <row r="151" spans="1:24">
      <c r="A151" s="25" t="s">
        <v>1078</v>
      </c>
      <c r="B151" s="25" t="s">
        <v>413</v>
      </c>
      <c r="C151" s="25" t="s">
        <v>977</v>
      </c>
      <c r="D151" s="25" t="s">
        <v>978</v>
      </c>
      <c r="E151" s="26" t="s">
        <v>43</v>
      </c>
      <c r="F151" s="27" t="s">
        <v>43</v>
      </c>
      <c r="G151" s="28" t="s">
        <v>43</v>
      </c>
      <c r="H151" s="29"/>
      <c r="I151" s="29" t="s">
        <v>44</v>
      </c>
      <c r="J151" s="30">
        <v>10</v>
      </c>
      <c r="K151" s="31">
        <f>1839</f>
        <v>1839</v>
      </c>
      <c r="L151" s="32" t="s">
        <v>675</v>
      </c>
      <c r="M151" s="31">
        <f>1848.5</f>
        <v>1848.5</v>
      </c>
      <c r="N151" s="32" t="s">
        <v>684</v>
      </c>
      <c r="O151" s="31">
        <f>1757.5</f>
        <v>1757.5</v>
      </c>
      <c r="P151" s="32" t="s">
        <v>678</v>
      </c>
      <c r="Q151" s="31">
        <f>1793.5</f>
        <v>1793.5</v>
      </c>
      <c r="R151" s="32" t="s">
        <v>681</v>
      </c>
      <c r="S151" s="33">
        <f>1810</f>
        <v>1810</v>
      </c>
      <c r="T151" s="30">
        <f>207870</f>
        <v>207870</v>
      </c>
      <c r="U151" s="30">
        <f>450</f>
        <v>450</v>
      </c>
      <c r="V151" s="30">
        <f>375320305</f>
        <v>375320305</v>
      </c>
      <c r="W151" s="30">
        <f>816075</f>
        <v>816075</v>
      </c>
      <c r="X151" s="34">
        <f>19</f>
        <v>19</v>
      </c>
    </row>
    <row r="152" spans="1:24">
      <c r="A152" s="25" t="s">
        <v>1078</v>
      </c>
      <c r="B152" s="25" t="s">
        <v>414</v>
      </c>
      <c r="C152" s="25" t="s">
        <v>415</v>
      </c>
      <c r="D152" s="25" t="s">
        <v>416</v>
      </c>
      <c r="E152" s="26" t="s">
        <v>43</v>
      </c>
      <c r="F152" s="27" t="s">
        <v>43</v>
      </c>
      <c r="G152" s="28" t="s">
        <v>43</v>
      </c>
      <c r="H152" s="29"/>
      <c r="I152" s="29" t="s">
        <v>44</v>
      </c>
      <c r="J152" s="30">
        <v>100</v>
      </c>
      <c r="K152" s="31">
        <f>239.8</f>
        <v>239.8</v>
      </c>
      <c r="L152" s="32" t="s">
        <v>675</v>
      </c>
      <c r="M152" s="31">
        <f>239.8</f>
        <v>239.8</v>
      </c>
      <c r="N152" s="32" t="s">
        <v>675</v>
      </c>
      <c r="O152" s="31">
        <f>228.3</f>
        <v>228.3</v>
      </c>
      <c r="P152" s="32" t="s">
        <v>875</v>
      </c>
      <c r="Q152" s="31">
        <f>234.4</f>
        <v>234.4</v>
      </c>
      <c r="R152" s="32" t="s">
        <v>681</v>
      </c>
      <c r="S152" s="33">
        <f>232.41</f>
        <v>232.41</v>
      </c>
      <c r="T152" s="30">
        <f>123000</f>
        <v>123000</v>
      </c>
      <c r="U152" s="30">
        <f>400</f>
        <v>400</v>
      </c>
      <c r="V152" s="30">
        <f>28612340</f>
        <v>28612340</v>
      </c>
      <c r="W152" s="30">
        <f>93080</f>
        <v>93080</v>
      </c>
      <c r="X152" s="34">
        <f>19</f>
        <v>19</v>
      </c>
    </row>
    <row r="153" spans="1:24">
      <c r="A153" s="25" t="s">
        <v>1078</v>
      </c>
      <c r="B153" s="25" t="s">
        <v>417</v>
      </c>
      <c r="C153" s="25" t="s">
        <v>418</v>
      </c>
      <c r="D153" s="25" t="s">
        <v>419</v>
      </c>
      <c r="E153" s="26" t="s">
        <v>43</v>
      </c>
      <c r="F153" s="27" t="s">
        <v>43</v>
      </c>
      <c r="G153" s="28" t="s">
        <v>43</v>
      </c>
      <c r="H153" s="29"/>
      <c r="I153" s="29" t="s">
        <v>44</v>
      </c>
      <c r="J153" s="30">
        <v>10</v>
      </c>
      <c r="K153" s="31">
        <f>1561.5</f>
        <v>1561.5</v>
      </c>
      <c r="L153" s="32" t="s">
        <v>675</v>
      </c>
      <c r="M153" s="31">
        <f>1635</f>
        <v>1635</v>
      </c>
      <c r="N153" s="32" t="s">
        <v>876</v>
      </c>
      <c r="O153" s="31">
        <f>1513.5</f>
        <v>1513.5</v>
      </c>
      <c r="P153" s="32" t="s">
        <v>759</v>
      </c>
      <c r="Q153" s="31">
        <f>1579</f>
        <v>1579</v>
      </c>
      <c r="R153" s="32" t="s">
        <v>676</v>
      </c>
      <c r="S153" s="33">
        <f>1548.56</f>
        <v>1548.56</v>
      </c>
      <c r="T153" s="30">
        <f>1250</f>
        <v>1250</v>
      </c>
      <c r="U153" s="30" t="str">
        <f t="shared" ref="U153:U166" si="2">"－"</f>
        <v>－</v>
      </c>
      <c r="V153" s="30">
        <f>1927235</f>
        <v>1927235</v>
      </c>
      <c r="W153" s="30" t="str">
        <f t="shared" ref="W153:W166" si="3">"－"</f>
        <v>－</v>
      </c>
      <c r="X153" s="34">
        <f>9</f>
        <v>9</v>
      </c>
    </row>
    <row r="154" spans="1:24">
      <c r="A154" s="25" t="s">
        <v>1078</v>
      </c>
      <c r="B154" s="25" t="s">
        <v>420</v>
      </c>
      <c r="C154" s="25" t="s">
        <v>421</v>
      </c>
      <c r="D154" s="25" t="s">
        <v>422</v>
      </c>
      <c r="E154" s="26" t="s">
        <v>43</v>
      </c>
      <c r="F154" s="27" t="s">
        <v>43</v>
      </c>
      <c r="G154" s="28" t="s">
        <v>43</v>
      </c>
      <c r="H154" s="29"/>
      <c r="I154" s="29" t="s">
        <v>44</v>
      </c>
      <c r="J154" s="30">
        <v>10</v>
      </c>
      <c r="K154" s="31">
        <f>534.2</f>
        <v>534.20000000000005</v>
      </c>
      <c r="L154" s="32" t="s">
        <v>675</v>
      </c>
      <c r="M154" s="31">
        <f>562.1</f>
        <v>562.1</v>
      </c>
      <c r="N154" s="32" t="s">
        <v>883</v>
      </c>
      <c r="O154" s="31">
        <f>519.7</f>
        <v>519.70000000000005</v>
      </c>
      <c r="P154" s="32" t="s">
        <v>876</v>
      </c>
      <c r="Q154" s="31">
        <f>548.5</f>
        <v>548.5</v>
      </c>
      <c r="R154" s="32" t="s">
        <v>681</v>
      </c>
      <c r="S154" s="33">
        <f>540.55</f>
        <v>540.54999999999995</v>
      </c>
      <c r="T154" s="30">
        <f>56080</f>
        <v>56080</v>
      </c>
      <c r="U154" s="30" t="str">
        <f t="shared" si="2"/>
        <v>－</v>
      </c>
      <c r="V154" s="30">
        <f>30361552</f>
        <v>30361552</v>
      </c>
      <c r="W154" s="30" t="str">
        <f t="shared" si="3"/>
        <v>－</v>
      </c>
      <c r="X154" s="34">
        <f>19</f>
        <v>19</v>
      </c>
    </row>
    <row r="155" spans="1:24">
      <c r="A155" s="25" t="s">
        <v>1078</v>
      </c>
      <c r="B155" s="25" t="s">
        <v>423</v>
      </c>
      <c r="C155" s="25" t="s">
        <v>424</v>
      </c>
      <c r="D155" s="25" t="s">
        <v>425</v>
      </c>
      <c r="E155" s="26" t="s">
        <v>43</v>
      </c>
      <c r="F155" s="27" t="s">
        <v>43</v>
      </c>
      <c r="G155" s="28" t="s">
        <v>43</v>
      </c>
      <c r="H155" s="29"/>
      <c r="I155" s="29" t="s">
        <v>44</v>
      </c>
      <c r="J155" s="30">
        <v>10</v>
      </c>
      <c r="K155" s="31">
        <f>1989.5</f>
        <v>1989.5</v>
      </c>
      <c r="L155" s="32" t="s">
        <v>675</v>
      </c>
      <c r="M155" s="31">
        <f>2097.5</f>
        <v>2097.5</v>
      </c>
      <c r="N155" s="32" t="s">
        <v>681</v>
      </c>
      <c r="O155" s="31">
        <f>1970</f>
        <v>1970</v>
      </c>
      <c r="P155" s="32" t="s">
        <v>759</v>
      </c>
      <c r="Q155" s="31">
        <f>2097.5</f>
        <v>2097.5</v>
      </c>
      <c r="R155" s="32" t="s">
        <v>681</v>
      </c>
      <c r="S155" s="33">
        <f>2047.57</f>
        <v>2047.57</v>
      </c>
      <c r="T155" s="30">
        <f>1960</f>
        <v>1960</v>
      </c>
      <c r="U155" s="30" t="str">
        <f t="shared" si="2"/>
        <v>－</v>
      </c>
      <c r="V155" s="30">
        <f>4010590</f>
        <v>4010590</v>
      </c>
      <c r="W155" s="30" t="str">
        <f t="shared" si="3"/>
        <v>－</v>
      </c>
      <c r="X155" s="34">
        <f>15</f>
        <v>15</v>
      </c>
    </row>
    <row r="156" spans="1:24">
      <c r="A156" s="25" t="s">
        <v>1078</v>
      </c>
      <c r="B156" s="25" t="s">
        <v>426</v>
      </c>
      <c r="C156" s="25" t="s">
        <v>427</v>
      </c>
      <c r="D156" s="25" t="s">
        <v>428</v>
      </c>
      <c r="E156" s="26" t="s">
        <v>43</v>
      </c>
      <c r="F156" s="27" t="s">
        <v>43</v>
      </c>
      <c r="G156" s="28" t="s">
        <v>43</v>
      </c>
      <c r="H156" s="29"/>
      <c r="I156" s="29" t="s">
        <v>44</v>
      </c>
      <c r="J156" s="30">
        <v>10</v>
      </c>
      <c r="K156" s="31">
        <f>896.1</f>
        <v>896.1</v>
      </c>
      <c r="L156" s="32" t="s">
        <v>675</v>
      </c>
      <c r="M156" s="31">
        <f>936.7</f>
        <v>936.7</v>
      </c>
      <c r="N156" s="32" t="s">
        <v>679</v>
      </c>
      <c r="O156" s="31">
        <f>888.3</f>
        <v>888.3</v>
      </c>
      <c r="P156" s="32" t="s">
        <v>876</v>
      </c>
      <c r="Q156" s="31">
        <f>921.6</f>
        <v>921.6</v>
      </c>
      <c r="R156" s="32" t="s">
        <v>681</v>
      </c>
      <c r="S156" s="33">
        <f>911.23</f>
        <v>911.23</v>
      </c>
      <c r="T156" s="30">
        <f>38500</f>
        <v>38500</v>
      </c>
      <c r="U156" s="30" t="str">
        <f t="shared" si="2"/>
        <v>－</v>
      </c>
      <c r="V156" s="30">
        <f>35062808</f>
        <v>35062808</v>
      </c>
      <c r="W156" s="30" t="str">
        <f t="shared" si="3"/>
        <v>－</v>
      </c>
      <c r="X156" s="34">
        <f>19</f>
        <v>19</v>
      </c>
    </row>
    <row r="157" spans="1:24">
      <c r="A157" s="25" t="s">
        <v>1078</v>
      </c>
      <c r="B157" s="25" t="s">
        <v>429</v>
      </c>
      <c r="C157" s="25" t="s">
        <v>430</v>
      </c>
      <c r="D157" s="25" t="s">
        <v>431</v>
      </c>
      <c r="E157" s="26" t="s">
        <v>43</v>
      </c>
      <c r="F157" s="27" t="s">
        <v>43</v>
      </c>
      <c r="G157" s="28" t="s">
        <v>43</v>
      </c>
      <c r="H157" s="29"/>
      <c r="I157" s="29" t="s">
        <v>44</v>
      </c>
      <c r="J157" s="30">
        <v>10</v>
      </c>
      <c r="K157" s="31">
        <f>593.7</f>
        <v>593.70000000000005</v>
      </c>
      <c r="L157" s="32" t="s">
        <v>675</v>
      </c>
      <c r="M157" s="31">
        <f>604</f>
        <v>604</v>
      </c>
      <c r="N157" s="32" t="s">
        <v>679</v>
      </c>
      <c r="O157" s="31">
        <f>580</f>
        <v>580</v>
      </c>
      <c r="P157" s="32" t="s">
        <v>777</v>
      </c>
      <c r="Q157" s="31">
        <f>592.5</f>
        <v>592.5</v>
      </c>
      <c r="R157" s="32" t="s">
        <v>681</v>
      </c>
      <c r="S157" s="33">
        <f>592.18</f>
        <v>592.17999999999995</v>
      </c>
      <c r="T157" s="30">
        <f>131370</f>
        <v>131370</v>
      </c>
      <c r="U157" s="30" t="str">
        <f t="shared" si="2"/>
        <v>－</v>
      </c>
      <c r="V157" s="30">
        <f>77615765</f>
        <v>77615765</v>
      </c>
      <c r="W157" s="30" t="str">
        <f t="shared" si="3"/>
        <v>－</v>
      </c>
      <c r="X157" s="34">
        <f>19</f>
        <v>19</v>
      </c>
    </row>
    <row r="158" spans="1:24">
      <c r="A158" s="25" t="s">
        <v>1078</v>
      </c>
      <c r="B158" s="25" t="s">
        <v>432</v>
      </c>
      <c r="C158" s="25" t="s">
        <v>433</v>
      </c>
      <c r="D158" s="25" t="s">
        <v>434</v>
      </c>
      <c r="E158" s="26" t="s">
        <v>43</v>
      </c>
      <c r="F158" s="27" t="s">
        <v>43</v>
      </c>
      <c r="G158" s="28" t="s">
        <v>43</v>
      </c>
      <c r="H158" s="29"/>
      <c r="I158" s="29" t="s">
        <v>44</v>
      </c>
      <c r="J158" s="30">
        <v>1</v>
      </c>
      <c r="K158" s="31">
        <f>1636</f>
        <v>1636</v>
      </c>
      <c r="L158" s="32" t="s">
        <v>675</v>
      </c>
      <c r="M158" s="31">
        <f>1813</f>
        <v>1813</v>
      </c>
      <c r="N158" s="32" t="s">
        <v>759</v>
      </c>
      <c r="O158" s="31">
        <f>1414</f>
        <v>1414</v>
      </c>
      <c r="P158" s="32" t="s">
        <v>777</v>
      </c>
      <c r="Q158" s="31">
        <f>1421</f>
        <v>1421</v>
      </c>
      <c r="R158" s="32" t="s">
        <v>681</v>
      </c>
      <c r="S158" s="33">
        <f>1608.95</f>
        <v>1608.95</v>
      </c>
      <c r="T158" s="30">
        <f>1035885</f>
        <v>1035885</v>
      </c>
      <c r="U158" s="30" t="str">
        <f t="shared" si="2"/>
        <v>－</v>
      </c>
      <c r="V158" s="30">
        <f>1643791066</f>
        <v>1643791066</v>
      </c>
      <c r="W158" s="30" t="str">
        <f t="shared" si="3"/>
        <v>－</v>
      </c>
      <c r="X158" s="34">
        <f>19</f>
        <v>19</v>
      </c>
    </row>
    <row r="159" spans="1:24">
      <c r="A159" s="25" t="s">
        <v>1078</v>
      </c>
      <c r="B159" s="25" t="s">
        <v>435</v>
      </c>
      <c r="C159" s="25" t="s">
        <v>436</v>
      </c>
      <c r="D159" s="25" t="s">
        <v>437</v>
      </c>
      <c r="E159" s="26" t="s">
        <v>43</v>
      </c>
      <c r="F159" s="27" t="s">
        <v>43</v>
      </c>
      <c r="G159" s="28" t="s">
        <v>43</v>
      </c>
      <c r="H159" s="29"/>
      <c r="I159" s="29" t="s">
        <v>44</v>
      </c>
      <c r="J159" s="30">
        <v>10</v>
      </c>
      <c r="K159" s="31">
        <f>1308</f>
        <v>1308</v>
      </c>
      <c r="L159" s="32" t="s">
        <v>675</v>
      </c>
      <c r="M159" s="31">
        <f>1460</f>
        <v>1460</v>
      </c>
      <c r="N159" s="32" t="s">
        <v>883</v>
      </c>
      <c r="O159" s="31">
        <f>1274</f>
        <v>1274</v>
      </c>
      <c r="P159" s="32" t="s">
        <v>876</v>
      </c>
      <c r="Q159" s="31">
        <f>1428.5</f>
        <v>1428.5</v>
      </c>
      <c r="R159" s="32" t="s">
        <v>681</v>
      </c>
      <c r="S159" s="33">
        <f>1359.45</f>
        <v>1359.45</v>
      </c>
      <c r="T159" s="30">
        <f>60840</f>
        <v>60840</v>
      </c>
      <c r="U159" s="30" t="str">
        <f t="shared" si="2"/>
        <v>－</v>
      </c>
      <c r="V159" s="30">
        <f>82995285</f>
        <v>82995285</v>
      </c>
      <c r="W159" s="30" t="str">
        <f t="shared" si="3"/>
        <v>－</v>
      </c>
      <c r="X159" s="34">
        <f>19</f>
        <v>19</v>
      </c>
    </row>
    <row r="160" spans="1:24">
      <c r="A160" s="25" t="s">
        <v>1078</v>
      </c>
      <c r="B160" s="25" t="s">
        <v>438</v>
      </c>
      <c r="C160" s="25" t="s">
        <v>439</v>
      </c>
      <c r="D160" s="25" t="s">
        <v>440</v>
      </c>
      <c r="E160" s="26" t="s">
        <v>43</v>
      </c>
      <c r="F160" s="27" t="s">
        <v>43</v>
      </c>
      <c r="G160" s="28" t="s">
        <v>43</v>
      </c>
      <c r="H160" s="29"/>
      <c r="I160" s="29" t="s">
        <v>44</v>
      </c>
      <c r="J160" s="30">
        <v>1</v>
      </c>
      <c r="K160" s="31">
        <f>7090</f>
        <v>7090</v>
      </c>
      <c r="L160" s="32" t="s">
        <v>675</v>
      </c>
      <c r="M160" s="31">
        <f>8034</f>
        <v>8034</v>
      </c>
      <c r="N160" s="32" t="s">
        <v>883</v>
      </c>
      <c r="O160" s="31">
        <f>6851</f>
        <v>6851</v>
      </c>
      <c r="P160" s="32" t="s">
        <v>876</v>
      </c>
      <c r="Q160" s="31">
        <f>7830</f>
        <v>7830</v>
      </c>
      <c r="R160" s="32" t="s">
        <v>681</v>
      </c>
      <c r="S160" s="33">
        <f>7462.61</f>
        <v>7462.61</v>
      </c>
      <c r="T160" s="30">
        <f>2704</f>
        <v>2704</v>
      </c>
      <c r="U160" s="30" t="str">
        <f t="shared" si="2"/>
        <v>－</v>
      </c>
      <c r="V160" s="30">
        <f>20104743</f>
        <v>20104743</v>
      </c>
      <c r="W160" s="30" t="str">
        <f t="shared" si="3"/>
        <v>－</v>
      </c>
      <c r="X160" s="34">
        <f>18</f>
        <v>18</v>
      </c>
    </row>
    <row r="161" spans="1:24">
      <c r="A161" s="25" t="s">
        <v>1078</v>
      </c>
      <c r="B161" s="25" t="s">
        <v>441</v>
      </c>
      <c r="C161" s="25" t="s">
        <v>442</v>
      </c>
      <c r="D161" s="25" t="s">
        <v>443</v>
      </c>
      <c r="E161" s="26" t="s">
        <v>43</v>
      </c>
      <c r="F161" s="27" t="s">
        <v>43</v>
      </c>
      <c r="G161" s="28" t="s">
        <v>43</v>
      </c>
      <c r="H161" s="29"/>
      <c r="I161" s="29" t="s">
        <v>44</v>
      </c>
      <c r="J161" s="30">
        <v>100</v>
      </c>
      <c r="K161" s="31">
        <f>433</f>
        <v>433</v>
      </c>
      <c r="L161" s="32" t="s">
        <v>675</v>
      </c>
      <c r="M161" s="31">
        <f>449.2</f>
        <v>449.2</v>
      </c>
      <c r="N161" s="32" t="s">
        <v>675</v>
      </c>
      <c r="O161" s="31">
        <f>424</f>
        <v>424</v>
      </c>
      <c r="P161" s="32" t="s">
        <v>778</v>
      </c>
      <c r="Q161" s="31">
        <f>442.4</f>
        <v>442.4</v>
      </c>
      <c r="R161" s="32" t="s">
        <v>681</v>
      </c>
      <c r="S161" s="33">
        <f>432.1</f>
        <v>432.1</v>
      </c>
      <c r="T161" s="30">
        <f>79100</f>
        <v>79100</v>
      </c>
      <c r="U161" s="30" t="str">
        <f t="shared" si="2"/>
        <v>－</v>
      </c>
      <c r="V161" s="30">
        <f>34550500</f>
        <v>34550500</v>
      </c>
      <c r="W161" s="30" t="str">
        <f t="shared" si="3"/>
        <v>－</v>
      </c>
      <c r="X161" s="34">
        <f>19</f>
        <v>19</v>
      </c>
    </row>
    <row r="162" spans="1:24">
      <c r="A162" s="25" t="s">
        <v>1078</v>
      </c>
      <c r="B162" s="25" t="s">
        <v>444</v>
      </c>
      <c r="C162" s="25" t="s">
        <v>445</v>
      </c>
      <c r="D162" s="25" t="s">
        <v>446</v>
      </c>
      <c r="E162" s="26" t="s">
        <v>43</v>
      </c>
      <c r="F162" s="27" t="s">
        <v>43</v>
      </c>
      <c r="G162" s="28" t="s">
        <v>43</v>
      </c>
      <c r="H162" s="29"/>
      <c r="I162" s="29" t="s">
        <v>44</v>
      </c>
      <c r="J162" s="30">
        <v>10</v>
      </c>
      <c r="K162" s="31">
        <f>4930</f>
        <v>4930</v>
      </c>
      <c r="L162" s="32" t="s">
        <v>675</v>
      </c>
      <c r="M162" s="31">
        <f>5150</f>
        <v>5150</v>
      </c>
      <c r="N162" s="32" t="s">
        <v>681</v>
      </c>
      <c r="O162" s="31">
        <f>4851</f>
        <v>4851</v>
      </c>
      <c r="P162" s="32" t="s">
        <v>759</v>
      </c>
      <c r="Q162" s="31">
        <f>5126</f>
        <v>5126</v>
      </c>
      <c r="R162" s="32" t="s">
        <v>681</v>
      </c>
      <c r="S162" s="33">
        <f>4980.16</f>
        <v>4980.16</v>
      </c>
      <c r="T162" s="30">
        <f>24730</f>
        <v>24730</v>
      </c>
      <c r="U162" s="30" t="str">
        <f t="shared" si="2"/>
        <v>－</v>
      </c>
      <c r="V162" s="30">
        <f>122724750</f>
        <v>122724750</v>
      </c>
      <c r="W162" s="30" t="str">
        <f t="shared" si="3"/>
        <v>－</v>
      </c>
      <c r="X162" s="34">
        <f>19</f>
        <v>19</v>
      </c>
    </row>
    <row r="163" spans="1:24">
      <c r="A163" s="25" t="s">
        <v>1078</v>
      </c>
      <c r="B163" s="25" t="s">
        <v>447</v>
      </c>
      <c r="C163" s="25" t="s">
        <v>448</v>
      </c>
      <c r="D163" s="25" t="s">
        <v>449</v>
      </c>
      <c r="E163" s="26" t="s">
        <v>43</v>
      </c>
      <c r="F163" s="27" t="s">
        <v>43</v>
      </c>
      <c r="G163" s="28" t="s">
        <v>43</v>
      </c>
      <c r="H163" s="29"/>
      <c r="I163" s="29" t="s">
        <v>44</v>
      </c>
      <c r="J163" s="30">
        <v>10</v>
      </c>
      <c r="K163" s="31">
        <f>2105</f>
        <v>2105</v>
      </c>
      <c r="L163" s="32" t="s">
        <v>675</v>
      </c>
      <c r="M163" s="31">
        <f>2276</f>
        <v>2276</v>
      </c>
      <c r="N163" s="32" t="s">
        <v>883</v>
      </c>
      <c r="O163" s="31">
        <f>2103</f>
        <v>2103</v>
      </c>
      <c r="P163" s="32" t="s">
        <v>675</v>
      </c>
      <c r="Q163" s="31">
        <f>2223</f>
        <v>2223</v>
      </c>
      <c r="R163" s="32" t="s">
        <v>681</v>
      </c>
      <c r="S163" s="33">
        <f>2192.11</f>
        <v>2192.11</v>
      </c>
      <c r="T163" s="30">
        <f>21080</f>
        <v>21080</v>
      </c>
      <c r="U163" s="30" t="str">
        <f t="shared" si="2"/>
        <v>－</v>
      </c>
      <c r="V163" s="30">
        <f>46306775</f>
        <v>46306775</v>
      </c>
      <c r="W163" s="30" t="str">
        <f t="shared" si="3"/>
        <v>－</v>
      </c>
      <c r="X163" s="34">
        <f>19</f>
        <v>19</v>
      </c>
    </row>
    <row r="164" spans="1:24">
      <c r="A164" s="25" t="s">
        <v>1078</v>
      </c>
      <c r="B164" s="25" t="s">
        <v>450</v>
      </c>
      <c r="C164" s="25" t="s">
        <v>451</v>
      </c>
      <c r="D164" s="25" t="s">
        <v>452</v>
      </c>
      <c r="E164" s="26" t="s">
        <v>43</v>
      </c>
      <c r="F164" s="27" t="s">
        <v>43</v>
      </c>
      <c r="G164" s="28" t="s">
        <v>43</v>
      </c>
      <c r="H164" s="29"/>
      <c r="I164" s="29" t="s">
        <v>44</v>
      </c>
      <c r="J164" s="30">
        <v>1</v>
      </c>
      <c r="K164" s="31">
        <f>3595</f>
        <v>3595</v>
      </c>
      <c r="L164" s="32" t="s">
        <v>675</v>
      </c>
      <c r="M164" s="31">
        <f>3765</f>
        <v>3765</v>
      </c>
      <c r="N164" s="32" t="s">
        <v>679</v>
      </c>
      <c r="O164" s="31">
        <f>3530</f>
        <v>3530</v>
      </c>
      <c r="P164" s="32" t="s">
        <v>876</v>
      </c>
      <c r="Q164" s="31">
        <f>3685</f>
        <v>3685</v>
      </c>
      <c r="R164" s="32" t="s">
        <v>681</v>
      </c>
      <c r="S164" s="33">
        <f>3634.74</f>
        <v>3634.74</v>
      </c>
      <c r="T164" s="30">
        <f>150741</f>
        <v>150741</v>
      </c>
      <c r="U164" s="30" t="str">
        <f t="shared" si="2"/>
        <v>－</v>
      </c>
      <c r="V164" s="30">
        <f>547039495</f>
        <v>547039495</v>
      </c>
      <c r="W164" s="30" t="str">
        <f t="shared" si="3"/>
        <v>－</v>
      </c>
      <c r="X164" s="34">
        <f>19</f>
        <v>19</v>
      </c>
    </row>
    <row r="165" spans="1:24">
      <c r="A165" s="25" t="s">
        <v>1078</v>
      </c>
      <c r="B165" s="25" t="s">
        <v>453</v>
      </c>
      <c r="C165" s="25" t="s">
        <v>454</v>
      </c>
      <c r="D165" s="25" t="s">
        <v>455</v>
      </c>
      <c r="E165" s="26" t="s">
        <v>43</v>
      </c>
      <c r="F165" s="27" t="s">
        <v>43</v>
      </c>
      <c r="G165" s="28" t="s">
        <v>43</v>
      </c>
      <c r="H165" s="29"/>
      <c r="I165" s="29" t="s">
        <v>44</v>
      </c>
      <c r="J165" s="30">
        <v>1</v>
      </c>
      <c r="K165" s="31">
        <f>3380</f>
        <v>3380</v>
      </c>
      <c r="L165" s="32" t="s">
        <v>675</v>
      </c>
      <c r="M165" s="31">
        <f>3450</f>
        <v>3450</v>
      </c>
      <c r="N165" s="32" t="s">
        <v>674</v>
      </c>
      <c r="O165" s="31">
        <f>3290</f>
        <v>3290</v>
      </c>
      <c r="P165" s="32" t="s">
        <v>777</v>
      </c>
      <c r="Q165" s="31">
        <f>3375</f>
        <v>3375</v>
      </c>
      <c r="R165" s="32" t="s">
        <v>681</v>
      </c>
      <c r="S165" s="33">
        <f>3369.47</f>
        <v>3369.47</v>
      </c>
      <c r="T165" s="30">
        <f>22947</f>
        <v>22947</v>
      </c>
      <c r="U165" s="30" t="str">
        <f t="shared" si="2"/>
        <v>－</v>
      </c>
      <c r="V165" s="30">
        <f>77243730</f>
        <v>77243730</v>
      </c>
      <c r="W165" s="30" t="str">
        <f t="shared" si="3"/>
        <v>－</v>
      </c>
      <c r="X165" s="34">
        <f>19</f>
        <v>19</v>
      </c>
    </row>
    <row r="166" spans="1:24">
      <c r="A166" s="25" t="s">
        <v>1078</v>
      </c>
      <c r="B166" s="25" t="s">
        <v>456</v>
      </c>
      <c r="C166" s="25" t="s">
        <v>457</v>
      </c>
      <c r="D166" s="25" t="s">
        <v>458</v>
      </c>
      <c r="E166" s="26" t="s">
        <v>43</v>
      </c>
      <c r="F166" s="27" t="s">
        <v>43</v>
      </c>
      <c r="G166" s="28" t="s">
        <v>43</v>
      </c>
      <c r="H166" s="29"/>
      <c r="I166" s="29" t="s">
        <v>44</v>
      </c>
      <c r="J166" s="30">
        <v>10</v>
      </c>
      <c r="K166" s="31">
        <f>4350</f>
        <v>4350</v>
      </c>
      <c r="L166" s="32" t="s">
        <v>675</v>
      </c>
      <c r="M166" s="31">
        <f>4408</f>
        <v>4408</v>
      </c>
      <c r="N166" s="32" t="s">
        <v>679</v>
      </c>
      <c r="O166" s="31">
        <f>4206</f>
        <v>4206</v>
      </c>
      <c r="P166" s="32" t="s">
        <v>777</v>
      </c>
      <c r="Q166" s="31">
        <f>4285</f>
        <v>4285</v>
      </c>
      <c r="R166" s="32" t="s">
        <v>681</v>
      </c>
      <c r="S166" s="33">
        <f>4327.42</f>
        <v>4327.42</v>
      </c>
      <c r="T166" s="30">
        <f>9840</f>
        <v>9840</v>
      </c>
      <c r="U166" s="30" t="str">
        <f t="shared" si="2"/>
        <v>－</v>
      </c>
      <c r="V166" s="30">
        <f>42491290</f>
        <v>42491290</v>
      </c>
      <c r="W166" s="30" t="str">
        <f t="shared" si="3"/>
        <v>－</v>
      </c>
      <c r="X166" s="34">
        <f>19</f>
        <v>19</v>
      </c>
    </row>
    <row r="167" spans="1:24">
      <c r="A167" s="25" t="s">
        <v>1078</v>
      </c>
      <c r="B167" s="25" t="s">
        <v>459</v>
      </c>
      <c r="C167" s="25" t="s">
        <v>460</v>
      </c>
      <c r="D167" s="25" t="s">
        <v>979</v>
      </c>
      <c r="E167" s="26" t="s">
        <v>43</v>
      </c>
      <c r="F167" s="27" t="s">
        <v>43</v>
      </c>
      <c r="G167" s="28" t="s">
        <v>43</v>
      </c>
      <c r="H167" s="29"/>
      <c r="I167" s="29" t="s">
        <v>44</v>
      </c>
      <c r="J167" s="30">
        <v>10</v>
      </c>
      <c r="K167" s="31">
        <f>2582.5</f>
        <v>2582.5</v>
      </c>
      <c r="L167" s="32" t="s">
        <v>675</v>
      </c>
      <c r="M167" s="31">
        <f>2796</f>
        <v>2796</v>
      </c>
      <c r="N167" s="32" t="s">
        <v>681</v>
      </c>
      <c r="O167" s="31">
        <f>2570</f>
        <v>2570</v>
      </c>
      <c r="P167" s="32" t="s">
        <v>675</v>
      </c>
      <c r="Q167" s="31">
        <f>2796</f>
        <v>2796</v>
      </c>
      <c r="R167" s="32" t="s">
        <v>681</v>
      </c>
      <c r="S167" s="33">
        <f>2724.18</f>
        <v>2724.18</v>
      </c>
      <c r="T167" s="30">
        <f>450720</f>
        <v>450720</v>
      </c>
      <c r="U167" s="30">
        <f>208300</f>
        <v>208300</v>
      </c>
      <c r="V167" s="30">
        <f>1222622616</f>
        <v>1222622616</v>
      </c>
      <c r="W167" s="30">
        <f>565871816</f>
        <v>565871816</v>
      </c>
      <c r="X167" s="34">
        <f>19</f>
        <v>19</v>
      </c>
    </row>
    <row r="168" spans="1:24">
      <c r="A168" s="25" t="s">
        <v>1078</v>
      </c>
      <c r="B168" s="25" t="s">
        <v>461</v>
      </c>
      <c r="C168" s="25" t="s">
        <v>980</v>
      </c>
      <c r="D168" s="25" t="s">
        <v>981</v>
      </c>
      <c r="E168" s="26" t="s">
        <v>43</v>
      </c>
      <c r="F168" s="27" t="s">
        <v>43</v>
      </c>
      <c r="G168" s="28" t="s">
        <v>43</v>
      </c>
      <c r="H168" s="29"/>
      <c r="I168" s="29" t="s">
        <v>44</v>
      </c>
      <c r="J168" s="30">
        <v>10</v>
      </c>
      <c r="K168" s="31">
        <f>361.6</f>
        <v>361.6</v>
      </c>
      <c r="L168" s="32" t="s">
        <v>675</v>
      </c>
      <c r="M168" s="31">
        <f>402.3</f>
        <v>402.3</v>
      </c>
      <c r="N168" s="32" t="s">
        <v>883</v>
      </c>
      <c r="O168" s="31">
        <f>351.5</f>
        <v>351.5</v>
      </c>
      <c r="P168" s="32" t="s">
        <v>876</v>
      </c>
      <c r="Q168" s="31">
        <f>394.8</f>
        <v>394.8</v>
      </c>
      <c r="R168" s="32" t="s">
        <v>681</v>
      </c>
      <c r="S168" s="33">
        <f>374.84</f>
        <v>374.84</v>
      </c>
      <c r="T168" s="30">
        <f>17148920</f>
        <v>17148920</v>
      </c>
      <c r="U168" s="30">
        <f>6580</f>
        <v>6580</v>
      </c>
      <c r="V168" s="30">
        <f>6426041501</f>
        <v>6426041501</v>
      </c>
      <c r="W168" s="30">
        <f>2492776</f>
        <v>2492776</v>
      </c>
      <c r="X168" s="34">
        <f>19</f>
        <v>19</v>
      </c>
    </row>
    <row r="169" spans="1:24">
      <c r="A169" s="25" t="s">
        <v>1078</v>
      </c>
      <c r="B169" s="25" t="s">
        <v>1054</v>
      </c>
      <c r="C169" s="25" t="s">
        <v>1055</v>
      </c>
      <c r="D169" s="25" t="s">
        <v>1056</v>
      </c>
      <c r="E169" s="26" t="s">
        <v>43</v>
      </c>
      <c r="F169" s="27" t="s">
        <v>43</v>
      </c>
      <c r="G169" s="28" t="s">
        <v>43</v>
      </c>
      <c r="H169" s="29"/>
      <c r="I169" s="29" t="s">
        <v>44</v>
      </c>
      <c r="J169" s="30">
        <v>10</v>
      </c>
      <c r="K169" s="31">
        <f>503.4</f>
        <v>503.4</v>
      </c>
      <c r="L169" s="32" t="s">
        <v>675</v>
      </c>
      <c r="M169" s="31">
        <f>539</f>
        <v>539</v>
      </c>
      <c r="N169" s="32" t="s">
        <v>778</v>
      </c>
      <c r="O169" s="31">
        <f>498.3</f>
        <v>498.3</v>
      </c>
      <c r="P169" s="32" t="s">
        <v>675</v>
      </c>
      <c r="Q169" s="31">
        <f>533.3</f>
        <v>533.29999999999995</v>
      </c>
      <c r="R169" s="32" t="s">
        <v>681</v>
      </c>
      <c r="S169" s="33">
        <f>523.87</f>
        <v>523.87</v>
      </c>
      <c r="T169" s="30">
        <f>1181460</f>
        <v>1181460</v>
      </c>
      <c r="U169" s="30">
        <f>85000</f>
        <v>85000</v>
      </c>
      <c r="V169" s="30">
        <f>616190334</f>
        <v>616190334</v>
      </c>
      <c r="W169" s="30">
        <f>44150417</f>
        <v>44150417</v>
      </c>
      <c r="X169" s="34">
        <f>19</f>
        <v>19</v>
      </c>
    </row>
    <row r="170" spans="1:24">
      <c r="A170" s="25" t="s">
        <v>1078</v>
      </c>
      <c r="B170" s="25" t="s">
        <v>1083</v>
      </c>
      <c r="C170" s="25" t="s">
        <v>1084</v>
      </c>
      <c r="D170" s="25" t="s">
        <v>1085</v>
      </c>
      <c r="E170" s="26" t="s">
        <v>672</v>
      </c>
      <c r="F170" s="27" t="s">
        <v>673</v>
      </c>
      <c r="G170" s="28" t="s">
        <v>1086</v>
      </c>
      <c r="H170" s="29"/>
      <c r="I170" s="29" t="s">
        <v>44</v>
      </c>
      <c r="J170" s="30">
        <v>10</v>
      </c>
      <c r="K170" s="31">
        <f>202.5</f>
        <v>202.5</v>
      </c>
      <c r="L170" s="32" t="s">
        <v>678</v>
      </c>
      <c r="M170" s="31">
        <f>210.1</f>
        <v>210.1</v>
      </c>
      <c r="N170" s="32" t="s">
        <v>874</v>
      </c>
      <c r="O170" s="31">
        <f>195.1</f>
        <v>195.1</v>
      </c>
      <c r="P170" s="32" t="s">
        <v>676</v>
      </c>
      <c r="Q170" s="31">
        <f>200.7</f>
        <v>200.7</v>
      </c>
      <c r="R170" s="32" t="s">
        <v>681</v>
      </c>
      <c r="S170" s="33">
        <f>200.96</f>
        <v>200.96</v>
      </c>
      <c r="T170" s="30">
        <f>6484450</f>
        <v>6484450</v>
      </c>
      <c r="U170" s="30" t="str">
        <f>"－"</f>
        <v>－</v>
      </c>
      <c r="V170" s="30">
        <f>1302277355</f>
        <v>1302277355</v>
      </c>
      <c r="W170" s="30" t="str">
        <f>"－"</f>
        <v>－</v>
      </c>
      <c r="X170" s="34">
        <f>10</f>
        <v>10</v>
      </c>
    </row>
    <row r="171" spans="1:24">
      <c r="A171" s="25" t="s">
        <v>1078</v>
      </c>
      <c r="B171" s="25" t="s">
        <v>1087</v>
      </c>
      <c r="C171" s="25" t="s">
        <v>1088</v>
      </c>
      <c r="D171" s="25" t="s">
        <v>1089</v>
      </c>
      <c r="E171" s="26" t="s">
        <v>672</v>
      </c>
      <c r="F171" s="27" t="s">
        <v>673</v>
      </c>
      <c r="G171" s="28" t="s">
        <v>1086</v>
      </c>
      <c r="H171" s="29"/>
      <c r="I171" s="29" t="s">
        <v>44</v>
      </c>
      <c r="J171" s="30">
        <v>10</v>
      </c>
      <c r="K171" s="31">
        <f>208</f>
        <v>208</v>
      </c>
      <c r="L171" s="32" t="s">
        <v>678</v>
      </c>
      <c r="M171" s="31">
        <f>210</f>
        <v>210</v>
      </c>
      <c r="N171" s="32" t="s">
        <v>678</v>
      </c>
      <c r="O171" s="31">
        <f>200.6</f>
        <v>200.6</v>
      </c>
      <c r="P171" s="32" t="s">
        <v>680</v>
      </c>
      <c r="Q171" s="31">
        <f>205.9</f>
        <v>205.9</v>
      </c>
      <c r="R171" s="32" t="s">
        <v>681</v>
      </c>
      <c r="S171" s="33">
        <f>203</f>
        <v>203</v>
      </c>
      <c r="T171" s="30">
        <f>7764210</f>
        <v>7764210</v>
      </c>
      <c r="U171" s="30">
        <f>2260</f>
        <v>2260</v>
      </c>
      <c r="V171" s="30">
        <f>1575477258</f>
        <v>1575477258</v>
      </c>
      <c r="W171" s="30">
        <f>452444</f>
        <v>452444</v>
      </c>
      <c r="X171" s="34">
        <f>10</f>
        <v>10</v>
      </c>
    </row>
    <row r="172" spans="1:24">
      <c r="A172" s="25" t="s">
        <v>1078</v>
      </c>
      <c r="B172" s="25" t="s">
        <v>1090</v>
      </c>
      <c r="C172" s="25" t="s">
        <v>1091</v>
      </c>
      <c r="D172" s="25" t="s">
        <v>1092</v>
      </c>
      <c r="E172" s="26" t="s">
        <v>672</v>
      </c>
      <c r="F172" s="27" t="s">
        <v>673</v>
      </c>
      <c r="G172" s="28" t="s">
        <v>1086</v>
      </c>
      <c r="H172" s="29"/>
      <c r="I172" s="29" t="s">
        <v>44</v>
      </c>
      <c r="J172" s="30">
        <v>10</v>
      </c>
      <c r="K172" s="31">
        <f>208</f>
        <v>208</v>
      </c>
      <c r="L172" s="32" t="s">
        <v>678</v>
      </c>
      <c r="M172" s="31">
        <f>208.9</f>
        <v>208.9</v>
      </c>
      <c r="N172" s="32" t="s">
        <v>678</v>
      </c>
      <c r="O172" s="31">
        <f>201.1</f>
        <v>201.1</v>
      </c>
      <c r="P172" s="32" t="s">
        <v>678</v>
      </c>
      <c r="Q172" s="31">
        <f>207.3</f>
        <v>207.3</v>
      </c>
      <c r="R172" s="32" t="s">
        <v>681</v>
      </c>
      <c r="S172" s="33">
        <f>204.7</f>
        <v>204.7</v>
      </c>
      <c r="T172" s="30">
        <f>12351890</f>
        <v>12351890</v>
      </c>
      <c r="U172" s="30">
        <f>50500</f>
        <v>50500</v>
      </c>
      <c r="V172" s="30">
        <f>2522568459</f>
        <v>2522568459</v>
      </c>
      <c r="W172" s="30">
        <f>10160160</f>
        <v>10160160</v>
      </c>
      <c r="X172" s="34">
        <f>10</f>
        <v>10</v>
      </c>
    </row>
    <row r="173" spans="1:24">
      <c r="A173" s="25" t="s">
        <v>1078</v>
      </c>
      <c r="B173" s="25" t="s">
        <v>1093</v>
      </c>
      <c r="C173" s="25" t="s">
        <v>1094</v>
      </c>
      <c r="D173" s="25" t="s">
        <v>1095</v>
      </c>
      <c r="E173" s="26" t="s">
        <v>672</v>
      </c>
      <c r="F173" s="27" t="s">
        <v>673</v>
      </c>
      <c r="G173" s="28" t="s">
        <v>1086</v>
      </c>
      <c r="H173" s="29"/>
      <c r="I173" s="29" t="s">
        <v>44</v>
      </c>
      <c r="J173" s="30">
        <v>1</v>
      </c>
      <c r="K173" s="31">
        <f>2007</f>
        <v>2007</v>
      </c>
      <c r="L173" s="32" t="s">
        <v>678</v>
      </c>
      <c r="M173" s="31">
        <f>2014</f>
        <v>2014</v>
      </c>
      <c r="N173" s="32" t="s">
        <v>681</v>
      </c>
      <c r="O173" s="31">
        <f>1984</f>
        <v>1984</v>
      </c>
      <c r="P173" s="32" t="s">
        <v>679</v>
      </c>
      <c r="Q173" s="31">
        <f>2014</f>
        <v>2014</v>
      </c>
      <c r="R173" s="32" t="s">
        <v>681</v>
      </c>
      <c r="S173" s="33">
        <f>2002.1</f>
        <v>2002.1</v>
      </c>
      <c r="T173" s="30">
        <f>220922</f>
        <v>220922</v>
      </c>
      <c r="U173" s="30" t="str">
        <f>"－"</f>
        <v>－</v>
      </c>
      <c r="V173" s="30">
        <f>441955595</f>
        <v>441955595</v>
      </c>
      <c r="W173" s="30" t="str">
        <f>"－"</f>
        <v>－</v>
      </c>
      <c r="X173" s="34">
        <f>10</f>
        <v>10</v>
      </c>
    </row>
    <row r="174" spans="1:24">
      <c r="A174" s="25" t="s">
        <v>1078</v>
      </c>
      <c r="B174" s="25" t="s">
        <v>1096</v>
      </c>
      <c r="C174" s="25" t="s">
        <v>1097</v>
      </c>
      <c r="D174" s="25" t="s">
        <v>1098</v>
      </c>
      <c r="E174" s="26" t="s">
        <v>672</v>
      </c>
      <c r="F174" s="27" t="s">
        <v>673</v>
      </c>
      <c r="G174" s="28" t="s">
        <v>1086</v>
      </c>
      <c r="H174" s="29"/>
      <c r="I174" s="29" t="s">
        <v>44</v>
      </c>
      <c r="J174" s="30">
        <v>1</v>
      </c>
      <c r="K174" s="31">
        <f>1997</f>
        <v>1997</v>
      </c>
      <c r="L174" s="32" t="s">
        <v>678</v>
      </c>
      <c r="M174" s="31">
        <f>2005</f>
        <v>2005</v>
      </c>
      <c r="N174" s="32" t="s">
        <v>681</v>
      </c>
      <c r="O174" s="31">
        <f>1980</f>
        <v>1980</v>
      </c>
      <c r="P174" s="32" t="s">
        <v>679</v>
      </c>
      <c r="Q174" s="31">
        <f>2003</f>
        <v>2003</v>
      </c>
      <c r="R174" s="32" t="s">
        <v>681</v>
      </c>
      <c r="S174" s="33">
        <f>1993</f>
        <v>1993</v>
      </c>
      <c r="T174" s="30">
        <f>70454</f>
        <v>70454</v>
      </c>
      <c r="U174" s="30" t="str">
        <f>"－"</f>
        <v>－</v>
      </c>
      <c r="V174" s="30">
        <f>140482219</f>
        <v>140482219</v>
      </c>
      <c r="W174" s="30" t="str">
        <f>"－"</f>
        <v>－</v>
      </c>
      <c r="X174" s="34">
        <f>10</f>
        <v>10</v>
      </c>
    </row>
    <row r="175" spans="1:24">
      <c r="A175" s="25" t="s">
        <v>1078</v>
      </c>
      <c r="B175" s="25" t="s">
        <v>1099</v>
      </c>
      <c r="C175" s="25" t="s">
        <v>1100</v>
      </c>
      <c r="D175" s="25" t="s">
        <v>1101</v>
      </c>
      <c r="E175" s="26" t="s">
        <v>672</v>
      </c>
      <c r="F175" s="27" t="s">
        <v>673</v>
      </c>
      <c r="G175" s="28" t="s">
        <v>1102</v>
      </c>
      <c r="H175" s="29"/>
      <c r="I175" s="29" t="s">
        <v>44</v>
      </c>
      <c r="J175" s="30">
        <v>1</v>
      </c>
      <c r="K175" s="31">
        <f>1018</f>
        <v>1018</v>
      </c>
      <c r="L175" s="32" t="s">
        <v>683</v>
      </c>
      <c r="M175" s="31">
        <f>1039</f>
        <v>1039</v>
      </c>
      <c r="N175" s="32" t="s">
        <v>683</v>
      </c>
      <c r="O175" s="31">
        <f>991</f>
        <v>991</v>
      </c>
      <c r="P175" s="32" t="s">
        <v>676</v>
      </c>
      <c r="Q175" s="31">
        <f>1012</f>
        <v>1012</v>
      </c>
      <c r="R175" s="32" t="s">
        <v>681</v>
      </c>
      <c r="S175" s="33">
        <f>1004.67</f>
        <v>1004.67</v>
      </c>
      <c r="T175" s="30">
        <f>5719601</f>
        <v>5719601</v>
      </c>
      <c r="U175" s="30">
        <f>650790</f>
        <v>650790</v>
      </c>
      <c r="V175" s="30">
        <f>5739671532</f>
        <v>5739671532</v>
      </c>
      <c r="W175" s="30">
        <f>651587464</f>
        <v>651587464</v>
      </c>
      <c r="X175" s="34">
        <f>6</f>
        <v>6</v>
      </c>
    </row>
    <row r="176" spans="1:24">
      <c r="A176" s="25" t="s">
        <v>1078</v>
      </c>
      <c r="B176" s="25" t="s">
        <v>1103</v>
      </c>
      <c r="C176" s="25" t="s">
        <v>1104</v>
      </c>
      <c r="D176" s="25" t="s">
        <v>1105</v>
      </c>
      <c r="E176" s="26" t="s">
        <v>672</v>
      </c>
      <c r="F176" s="27" t="s">
        <v>673</v>
      </c>
      <c r="G176" s="28" t="s">
        <v>1082</v>
      </c>
      <c r="H176" s="29"/>
      <c r="I176" s="29" t="s">
        <v>44</v>
      </c>
      <c r="J176" s="30">
        <v>1</v>
      </c>
      <c r="K176" s="31">
        <f>996</f>
        <v>996</v>
      </c>
      <c r="L176" s="32" t="s">
        <v>681</v>
      </c>
      <c r="M176" s="31">
        <f>1030</f>
        <v>1030</v>
      </c>
      <c r="N176" s="32" t="s">
        <v>681</v>
      </c>
      <c r="O176" s="31">
        <f>994</f>
        <v>994</v>
      </c>
      <c r="P176" s="32" t="s">
        <v>681</v>
      </c>
      <c r="Q176" s="31">
        <f>1000</f>
        <v>1000</v>
      </c>
      <c r="R176" s="32" t="s">
        <v>681</v>
      </c>
      <c r="S176" s="33">
        <f>1000</f>
        <v>1000</v>
      </c>
      <c r="T176" s="30">
        <f>11188</f>
        <v>11188</v>
      </c>
      <c r="U176" s="30">
        <f>1</f>
        <v>1</v>
      </c>
      <c r="V176" s="30">
        <f>11169640</f>
        <v>11169640</v>
      </c>
      <c r="W176" s="30">
        <f>999</f>
        <v>999</v>
      </c>
      <c r="X176" s="34">
        <f>1</f>
        <v>1</v>
      </c>
    </row>
    <row r="177" spans="1:24">
      <c r="A177" s="25" t="s">
        <v>1078</v>
      </c>
      <c r="B177" s="25" t="s">
        <v>1106</v>
      </c>
      <c r="C177" s="25" t="s">
        <v>1107</v>
      </c>
      <c r="D177" s="25" t="s">
        <v>1108</v>
      </c>
      <c r="E177" s="26" t="s">
        <v>672</v>
      </c>
      <c r="F177" s="27" t="s">
        <v>673</v>
      </c>
      <c r="G177" s="28" t="s">
        <v>1082</v>
      </c>
      <c r="H177" s="29"/>
      <c r="I177" s="29" t="s">
        <v>44</v>
      </c>
      <c r="J177" s="30">
        <v>1</v>
      </c>
      <c r="K177" s="31">
        <f>1004</f>
        <v>1004</v>
      </c>
      <c r="L177" s="32" t="s">
        <v>681</v>
      </c>
      <c r="M177" s="31">
        <f>1023</f>
        <v>1023</v>
      </c>
      <c r="N177" s="32" t="s">
        <v>681</v>
      </c>
      <c r="O177" s="31">
        <f>1000</f>
        <v>1000</v>
      </c>
      <c r="P177" s="32" t="s">
        <v>681</v>
      </c>
      <c r="Q177" s="31">
        <f>1006</f>
        <v>1006</v>
      </c>
      <c r="R177" s="32" t="s">
        <v>681</v>
      </c>
      <c r="S177" s="33">
        <f>1006</f>
        <v>1006</v>
      </c>
      <c r="T177" s="30">
        <f>90982</f>
        <v>90982</v>
      </c>
      <c r="U177" s="30" t="str">
        <f>"－"</f>
        <v>－</v>
      </c>
      <c r="V177" s="30">
        <f>91284401</f>
        <v>91284401</v>
      </c>
      <c r="W177" s="30" t="str">
        <f>"－"</f>
        <v>－</v>
      </c>
      <c r="X177" s="34">
        <f>1</f>
        <v>1</v>
      </c>
    </row>
    <row r="178" spans="1:24">
      <c r="A178" s="25" t="s">
        <v>1078</v>
      </c>
      <c r="B178" s="25" t="s">
        <v>462</v>
      </c>
      <c r="C178" s="25" t="s">
        <v>463</v>
      </c>
      <c r="D178" s="25" t="s">
        <v>464</v>
      </c>
      <c r="E178" s="26" t="s">
        <v>43</v>
      </c>
      <c r="F178" s="27" t="s">
        <v>43</v>
      </c>
      <c r="G178" s="28" t="s">
        <v>43</v>
      </c>
      <c r="H178" s="29"/>
      <c r="I178" s="29" t="s">
        <v>465</v>
      </c>
      <c r="J178" s="30">
        <v>1</v>
      </c>
      <c r="K178" s="31">
        <f>3995</f>
        <v>3995</v>
      </c>
      <c r="L178" s="32" t="s">
        <v>675</v>
      </c>
      <c r="M178" s="31">
        <f>4070</f>
        <v>4070</v>
      </c>
      <c r="N178" s="32" t="s">
        <v>674</v>
      </c>
      <c r="O178" s="31">
        <f>3360</f>
        <v>3360</v>
      </c>
      <c r="P178" s="32" t="s">
        <v>874</v>
      </c>
      <c r="Q178" s="31">
        <f>3550</f>
        <v>3550</v>
      </c>
      <c r="R178" s="32" t="s">
        <v>681</v>
      </c>
      <c r="S178" s="33">
        <f>3761.05</f>
        <v>3761.05</v>
      </c>
      <c r="T178" s="30">
        <f>264986</f>
        <v>264986</v>
      </c>
      <c r="U178" s="30" t="str">
        <f>"－"</f>
        <v>－</v>
      </c>
      <c r="V178" s="30">
        <f>981292590</f>
        <v>981292590</v>
      </c>
      <c r="W178" s="30" t="str">
        <f>"－"</f>
        <v>－</v>
      </c>
      <c r="X178" s="34">
        <f>19</f>
        <v>19</v>
      </c>
    </row>
    <row r="179" spans="1:24">
      <c r="A179" s="25" t="s">
        <v>1078</v>
      </c>
      <c r="B179" s="25" t="s">
        <v>466</v>
      </c>
      <c r="C179" s="25" t="s">
        <v>467</v>
      </c>
      <c r="D179" s="25" t="s">
        <v>468</v>
      </c>
      <c r="E179" s="26" t="s">
        <v>43</v>
      </c>
      <c r="F179" s="27" t="s">
        <v>43</v>
      </c>
      <c r="G179" s="28" t="s">
        <v>43</v>
      </c>
      <c r="H179" s="29"/>
      <c r="I179" s="29" t="s">
        <v>465</v>
      </c>
      <c r="J179" s="30">
        <v>1</v>
      </c>
      <c r="K179" s="31">
        <f>9301</f>
        <v>9301</v>
      </c>
      <c r="L179" s="32" t="s">
        <v>675</v>
      </c>
      <c r="M179" s="31">
        <f>10925</f>
        <v>10925</v>
      </c>
      <c r="N179" s="32" t="s">
        <v>874</v>
      </c>
      <c r="O179" s="31">
        <f>9279</f>
        <v>9279</v>
      </c>
      <c r="P179" s="32" t="s">
        <v>675</v>
      </c>
      <c r="Q179" s="31">
        <f>10455</f>
        <v>10455</v>
      </c>
      <c r="R179" s="32" t="s">
        <v>681</v>
      </c>
      <c r="S179" s="33">
        <f>10117</f>
        <v>10117</v>
      </c>
      <c r="T179" s="30">
        <f>22127</f>
        <v>22127</v>
      </c>
      <c r="U179" s="30" t="str">
        <f>"－"</f>
        <v>－</v>
      </c>
      <c r="V179" s="30">
        <f>226513625</f>
        <v>226513625</v>
      </c>
      <c r="W179" s="30" t="str">
        <f>"－"</f>
        <v>－</v>
      </c>
      <c r="X179" s="34">
        <f>19</f>
        <v>19</v>
      </c>
    </row>
    <row r="180" spans="1:24">
      <c r="A180" s="25" t="s">
        <v>1078</v>
      </c>
      <c r="B180" s="25" t="s">
        <v>469</v>
      </c>
      <c r="C180" s="25" t="s">
        <v>470</v>
      </c>
      <c r="D180" s="25" t="s">
        <v>471</v>
      </c>
      <c r="E180" s="26" t="s">
        <v>43</v>
      </c>
      <c r="F180" s="27" t="s">
        <v>43</v>
      </c>
      <c r="G180" s="28" t="s">
        <v>43</v>
      </c>
      <c r="H180" s="29"/>
      <c r="I180" s="29" t="s">
        <v>465</v>
      </c>
      <c r="J180" s="30">
        <v>1</v>
      </c>
      <c r="K180" s="31">
        <f>12945</f>
        <v>12945</v>
      </c>
      <c r="L180" s="32" t="s">
        <v>675</v>
      </c>
      <c r="M180" s="31">
        <f>12945</f>
        <v>12945</v>
      </c>
      <c r="N180" s="32" t="s">
        <v>675</v>
      </c>
      <c r="O180" s="31">
        <f>11270</f>
        <v>11270</v>
      </c>
      <c r="P180" s="32" t="s">
        <v>682</v>
      </c>
      <c r="Q180" s="31">
        <f>11860</f>
        <v>11860</v>
      </c>
      <c r="R180" s="32" t="s">
        <v>681</v>
      </c>
      <c r="S180" s="33">
        <f>12013.06</f>
        <v>12013.06</v>
      </c>
      <c r="T180" s="30">
        <f>1162</f>
        <v>1162</v>
      </c>
      <c r="U180" s="30" t="str">
        <f>"－"</f>
        <v>－</v>
      </c>
      <c r="V180" s="30">
        <f>13725245</f>
        <v>13725245</v>
      </c>
      <c r="W180" s="30" t="str">
        <f>"－"</f>
        <v>－</v>
      </c>
      <c r="X180" s="34">
        <f>18</f>
        <v>18</v>
      </c>
    </row>
    <row r="181" spans="1:24">
      <c r="A181" s="25" t="s">
        <v>1078</v>
      </c>
      <c r="B181" s="25" t="s">
        <v>472</v>
      </c>
      <c r="C181" s="25" t="s">
        <v>473</v>
      </c>
      <c r="D181" s="25" t="s">
        <v>474</v>
      </c>
      <c r="E181" s="26" t="s">
        <v>43</v>
      </c>
      <c r="F181" s="27" t="s">
        <v>43</v>
      </c>
      <c r="G181" s="28" t="s">
        <v>43</v>
      </c>
      <c r="H181" s="29"/>
      <c r="I181" s="29" t="s">
        <v>465</v>
      </c>
      <c r="J181" s="30">
        <v>1</v>
      </c>
      <c r="K181" s="31">
        <f>7575</f>
        <v>7575</v>
      </c>
      <c r="L181" s="32" t="s">
        <v>675</v>
      </c>
      <c r="M181" s="31">
        <f>8377</f>
        <v>8377</v>
      </c>
      <c r="N181" s="32" t="s">
        <v>678</v>
      </c>
      <c r="O181" s="31">
        <f>7575</f>
        <v>7575</v>
      </c>
      <c r="P181" s="32" t="s">
        <v>675</v>
      </c>
      <c r="Q181" s="31">
        <f>8125</f>
        <v>8125</v>
      </c>
      <c r="R181" s="32" t="s">
        <v>681</v>
      </c>
      <c r="S181" s="33">
        <f>8083.16</f>
        <v>8083.16</v>
      </c>
      <c r="T181" s="30">
        <f>8588</f>
        <v>8588</v>
      </c>
      <c r="U181" s="30" t="str">
        <f>"－"</f>
        <v>－</v>
      </c>
      <c r="V181" s="30">
        <f>68733083</f>
        <v>68733083</v>
      </c>
      <c r="W181" s="30" t="str">
        <f>"－"</f>
        <v>－</v>
      </c>
      <c r="X181" s="34">
        <f>19</f>
        <v>19</v>
      </c>
    </row>
    <row r="182" spans="1:24">
      <c r="A182" s="25" t="s">
        <v>1078</v>
      </c>
      <c r="B182" s="25" t="s">
        <v>475</v>
      </c>
      <c r="C182" s="25" t="s">
        <v>476</v>
      </c>
      <c r="D182" s="25" t="s">
        <v>477</v>
      </c>
      <c r="E182" s="26" t="s">
        <v>43</v>
      </c>
      <c r="F182" s="27" t="s">
        <v>43</v>
      </c>
      <c r="G182" s="28" t="s">
        <v>43</v>
      </c>
      <c r="H182" s="29"/>
      <c r="I182" s="29" t="s">
        <v>465</v>
      </c>
      <c r="J182" s="30">
        <v>1</v>
      </c>
      <c r="K182" s="31">
        <f>37030</f>
        <v>37030</v>
      </c>
      <c r="L182" s="32" t="s">
        <v>675</v>
      </c>
      <c r="M182" s="31">
        <f>38880</f>
        <v>38880</v>
      </c>
      <c r="N182" s="32" t="s">
        <v>683</v>
      </c>
      <c r="O182" s="31">
        <f>36770</f>
        <v>36770</v>
      </c>
      <c r="P182" s="32" t="s">
        <v>675</v>
      </c>
      <c r="Q182" s="31">
        <f>38520</f>
        <v>38520</v>
      </c>
      <c r="R182" s="32" t="s">
        <v>681</v>
      </c>
      <c r="S182" s="33">
        <f>37954.21</f>
        <v>37954.21</v>
      </c>
      <c r="T182" s="30">
        <f>32463</f>
        <v>32463</v>
      </c>
      <c r="U182" s="30">
        <f>111</f>
        <v>111</v>
      </c>
      <c r="V182" s="30">
        <f>1232379620</f>
        <v>1232379620</v>
      </c>
      <c r="W182" s="30">
        <f>4250760</f>
        <v>4250760</v>
      </c>
      <c r="X182" s="34">
        <f>19</f>
        <v>19</v>
      </c>
    </row>
    <row r="183" spans="1:24">
      <c r="A183" s="25" t="s">
        <v>1078</v>
      </c>
      <c r="B183" s="25" t="s">
        <v>478</v>
      </c>
      <c r="C183" s="25" t="s">
        <v>479</v>
      </c>
      <c r="D183" s="25" t="s">
        <v>480</v>
      </c>
      <c r="E183" s="26" t="s">
        <v>43</v>
      </c>
      <c r="F183" s="27" t="s">
        <v>43</v>
      </c>
      <c r="G183" s="28" t="s">
        <v>43</v>
      </c>
      <c r="H183" s="29"/>
      <c r="I183" s="29" t="s">
        <v>465</v>
      </c>
      <c r="J183" s="30">
        <v>1</v>
      </c>
      <c r="K183" s="31">
        <f>3570</f>
        <v>3570</v>
      </c>
      <c r="L183" s="32" t="s">
        <v>675</v>
      </c>
      <c r="M183" s="31">
        <f>3585</f>
        <v>3585</v>
      </c>
      <c r="N183" s="32" t="s">
        <v>876</v>
      </c>
      <c r="O183" s="31">
        <f>3425</f>
        <v>3425</v>
      </c>
      <c r="P183" s="32" t="s">
        <v>681</v>
      </c>
      <c r="Q183" s="31">
        <f>3430</f>
        <v>3430</v>
      </c>
      <c r="R183" s="32" t="s">
        <v>681</v>
      </c>
      <c r="S183" s="33">
        <f>3480</f>
        <v>3480</v>
      </c>
      <c r="T183" s="30">
        <f>3958</f>
        <v>3958</v>
      </c>
      <c r="U183" s="30" t="str">
        <f>"－"</f>
        <v>－</v>
      </c>
      <c r="V183" s="30">
        <f>13745795</f>
        <v>13745795</v>
      </c>
      <c r="W183" s="30" t="str">
        <f>"－"</f>
        <v>－</v>
      </c>
      <c r="X183" s="34">
        <f>19</f>
        <v>19</v>
      </c>
    </row>
    <row r="184" spans="1:24">
      <c r="A184" s="25" t="s">
        <v>1078</v>
      </c>
      <c r="B184" s="25" t="s">
        <v>481</v>
      </c>
      <c r="C184" s="25" t="s">
        <v>482</v>
      </c>
      <c r="D184" s="25" t="s">
        <v>483</v>
      </c>
      <c r="E184" s="26" t="s">
        <v>43</v>
      </c>
      <c r="F184" s="27" t="s">
        <v>43</v>
      </c>
      <c r="G184" s="28" t="s">
        <v>43</v>
      </c>
      <c r="H184" s="29"/>
      <c r="I184" s="29" t="s">
        <v>465</v>
      </c>
      <c r="J184" s="30">
        <v>1</v>
      </c>
      <c r="K184" s="31">
        <f>1630</f>
        <v>1630</v>
      </c>
      <c r="L184" s="32" t="s">
        <v>675</v>
      </c>
      <c r="M184" s="31">
        <f>1949</f>
        <v>1949</v>
      </c>
      <c r="N184" s="32" t="s">
        <v>883</v>
      </c>
      <c r="O184" s="31">
        <f>1550</f>
        <v>1550</v>
      </c>
      <c r="P184" s="32" t="s">
        <v>876</v>
      </c>
      <c r="Q184" s="31">
        <f>1882</f>
        <v>1882</v>
      </c>
      <c r="R184" s="32" t="s">
        <v>681</v>
      </c>
      <c r="S184" s="33">
        <f>1725.21</f>
        <v>1725.21</v>
      </c>
      <c r="T184" s="30">
        <f>12370224</f>
        <v>12370224</v>
      </c>
      <c r="U184" s="30">
        <f>401017</f>
        <v>401017</v>
      </c>
      <c r="V184" s="30">
        <f>21318954435</f>
        <v>21318954435</v>
      </c>
      <c r="W184" s="30">
        <f>801635174</f>
        <v>801635174</v>
      </c>
      <c r="X184" s="34">
        <f>19</f>
        <v>19</v>
      </c>
    </row>
    <row r="185" spans="1:24">
      <c r="A185" s="25" t="s">
        <v>1078</v>
      </c>
      <c r="B185" s="25" t="s">
        <v>484</v>
      </c>
      <c r="C185" s="25" t="s">
        <v>485</v>
      </c>
      <c r="D185" s="25" t="s">
        <v>486</v>
      </c>
      <c r="E185" s="26" t="s">
        <v>43</v>
      </c>
      <c r="F185" s="27" t="s">
        <v>43</v>
      </c>
      <c r="G185" s="28" t="s">
        <v>43</v>
      </c>
      <c r="H185" s="29"/>
      <c r="I185" s="29" t="s">
        <v>465</v>
      </c>
      <c r="J185" s="30">
        <v>1</v>
      </c>
      <c r="K185" s="31">
        <f>1128</f>
        <v>1128</v>
      </c>
      <c r="L185" s="32" t="s">
        <v>675</v>
      </c>
      <c r="M185" s="31">
        <f>1158</f>
        <v>1158</v>
      </c>
      <c r="N185" s="32" t="s">
        <v>876</v>
      </c>
      <c r="O185" s="31">
        <f>1030</f>
        <v>1030</v>
      </c>
      <c r="P185" s="32" t="s">
        <v>883</v>
      </c>
      <c r="Q185" s="31">
        <f>1045</f>
        <v>1045</v>
      </c>
      <c r="R185" s="32" t="s">
        <v>681</v>
      </c>
      <c r="S185" s="33">
        <f>1096.21</f>
        <v>1096.21</v>
      </c>
      <c r="T185" s="30">
        <f>1065585</f>
        <v>1065585</v>
      </c>
      <c r="U185" s="30">
        <f>946</f>
        <v>946</v>
      </c>
      <c r="V185" s="30">
        <f>1168914162</f>
        <v>1168914162</v>
      </c>
      <c r="W185" s="30">
        <f>998978</f>
        <v>998978</v>
      </c>
      <c r="X185" s="34">
        <f>19</f>
        <v>19</v>
      </c>
    </row>
    <row r="186" spans="1:24">
      <c r="A186" s="25" t="s">
        <v>1078</v>
      </c>
      <c r="B186" s="25" t="s">
        <v>487</v>
      </c>
      <c r="C186" s="25" t="s">
        <v>488</v>
      </c>
      <c r="D186" s="25" t="s">
        <v>489</v>
      </c>
      <c r="E186" s="26" t="s">
        <v>43</v>
      </c>
      <c r="F186" s="27" t="s">
        <v>43</v>
      </c>
      <c r="G186" s="28" t="s">
        <v>43</v>
      </c>
      <c r="H186" s="29"/>
      <c r="I186" s="29" t="s">
        <v>465</v>
      </c>
      <c r="J186" s="30">
        <v>1</v>
      </c>
      <c r="K186" s="31">
        <f>27230</f>
        <v>27230</v>
      </c>
      <c r="L186" s="32" t="s">
        <v>675</v>
      </c>
      <c r="M186" s="31">
        <f>28550</f>
        <v>28550</v>
      </c>
      <c r="N186" s="32" t="s">
        <v>681</v>
      </c>
      <c r="O186" s="31">
        <f>26740</f>
        <v>26740</v>
      </c>
      <c r="P186" s="32" t="s">
        <v>678</v>
      </c>
      <c r="Q186" s="31">
        <f>28520</f>
        <v>28520</v>
      </c>
      <c r="R186" s="32" t="s">
        <v>681</v>
      </c>
      <c r="S186" s="33">
        <f>27521.32</f>
        <v>27521.32</v>
      </c>
      <c r="T186" s="30">
        <f>39532</f>
        <v>39532</v>
      </c>
      <c r="U186" s="30">
        <f>25</f>
        <v>25</v>
      </c>
      <c r="V186" s="30">
        <f>1087999995</f>
        <v>1087999995</v>
      </c>
      <c r="W186" s="30">
        <f>682675</f>
        <v>682675</v>
      </c>
      <c r="X186" s="34">
        <f>19</f>
        <v>19</v>
      </c>
    </row>
    <row r="187" spans="1:24">
      <c r="A187" s="25" t="s">
        <v>1078</v>
      </c>
      <c r="B187" s="25" t="s">
        <v>490</v>
      </c>
      <c r="C187" s="25" t="s">
        <v>491</v>
      </c>
      <c r="D187" s="25" t="s">
        <v>492</v>
      </c>
      <c r="E187" s="26" t="s">
        <v>43</v>
      </c>
      <c r="F187" s="27" t="s">
        <v>43</v>
      </c>
      <c r="G187" s="28" t="s">
        <v>43</v>
      </c>
      <c r="H187" s="29"/>
      <c r="I187" s="29" t="s">
        <v>465</v>
      </c>
      <c r="J187" s="30">
        <v>1</v>
      </c>
      <c r="K187" s="31">
        <f>2681</f>
        <v>2681</v>
      </c>
      <c r="L187" s="32" t="s">
        <v>675</v>
      </c>
      <c r="M187" s="31">
        <f>2686</f>
        <v>2686</v>
      </c>
      <c r="N187" s="32" t="s">
        <v>678</v>
      </c>
      <c r="O187" s="31">
        <f>2601</f>
        <v>2601</v>
      </c>
      <c r="P187" s="32" t="s">
        <v>681</v>
      </c>
      <c r="Q187" s="31">
        <f>2603</f>
        <v>2603</v>
      </c>
      <c r="R187" s="32" t="s">
        <v>681</v>
      </c>
      <c r="S187" s="33">
        <f>2646.89</f>
        <v>2646.89</v>
      </c>
      <c r="T187" s="30">
        <f>276675</f>
        <v>276675</v>
      </c>
      <c r="U187" s="30">
        <f>55</f>
        <v>55</v>
      </c>
      <c r="V187" s="30">
        <f>732959598</f>
        <v>732959598</v>
      </c>
      <c r="W187" s="30">
        <f>144155</f>
        <v>144155</v>
      </c>
      <c r="X187" s="34">
        <f>19</f>
        <v>19</v>
      </c>
    </row>
    <row r="188" spans="1:24">
      <c r="A188" s="25" t="s">
        <v>1078</v>
      </c>
      <c r="B188" s="25" t="s">
        <v>493</v>
      </c>
      <c r="C188" s="25" t="s">
        <v>1057</v>
      </c>
      <c r="D188" s="25" t="s">
        <v>1058</v>
      </c>
      <c r="E188" s="26" t="s">
        <v>43</v>
      </c>
      <c r="F188" s="27" t="s">
        <v>43</v>
      </c>
      <c r="G188" s="28" t="s">
        <v>43</v>
      </c>
      <c r="H188" s="29"/>
      <c r="I188" s="29" t="s">
        <v>465</v>
      </c>
      <c r="J188" s="30">
        <v>1</v>
      </c>
      <c r="K188" s="31">
        <f>7448</f>
        <v>7448</v>
      </c>
      <c r="L188" s="32" t="s">
        <v>675</v>
      </c>
      <c r="M188" s="31">
        <f>7705</f>
        <v>7705</v>
      </c>
      <c r="N188" s="32" t="s">
        <v>777</v>
      </c>
      <c r="O188" s="31">
        <f>7238</f>
        <v>7238</v>
      </c>
      <c r="P188" s="32" t="s">
        <v>678</v>
      </c>
      <c r="Q188" s="31">
        <f>7550</f>
        <v>7550</v>
      </c>
      <c r="R188" s="32" t="s">
        <v>681</v>
      </c>
      <c r="S188" s="33">
        <f>7483.95</f>
        <v>7483.95</v>
      </c>
      <c r="T188" s="30">
        <f>106542</f>
        <v>106542</v>
      </c>
      <c r="U188" s="30">
        <f>7509</f>
        <v>7509</v>
      </c>
      <c r="V188" s="30">
        <f>800440586</f>
        <v>800440586</v>
      </c>
      <c r="W188" s="30">
        <f>55868008</f>
        <v>55868008</v>
      </c>
      <c r="X188" s="34">
        <f>19</f>
        <v>19</v>
      </c>
    </row>
    <row r="189" spans="1:24">
      <c r="A189" s="25" t="s">
        <v>1078</v>
      </c>
      <c r="B189" s="25" t="s">
        <v>494</v>
      </c>
      <c r="C189" s="25" t="s">
        <v>495</v>
      </c>
      <c r="D189" s="25" t="s">
        <v>496</v>
      </c>
      <c r="E189" s="26" t="s">
        <v>43</v>
      </c>
      <c r="F189" s="27" t="s">
        <v>43</v>
      </c>
      <c r="G189" s="28" t="s">
        <v>43</v>
      </c>
      <c r="H189" s="29"/>
      <c r="I189" s="29" t="s">
        <v>465</v>
      </c>
      <c r="J189" s="30">
        <v>1</v>
      </c>
      <c r="K189" s="31">
        <f>17430</f>
        <v>17430</v>
      </c>
      <c r="L189" s="32" t="s">
        <v>675</v>
      </c>
      <c r="M189" s="31">
        <f>17810</f>
        <v>17810</v>
      </c>
      <c r="N189" s="32" t="s">
        <v>874</v>
      </c>
      <c r="O189" s="31">
        <f>17060</f>
        <v>17060</v>
      </c>
      <c r="P189" s="32" t="s">
        <v>675</v>
      </c>
      <c r="Q189" s="31">
        <f>17330</f>
        <v>17330</v>
      </c>
      <c r="R189" s="32" t="s">
        <v>681</v>
      </c>
      <c r="S189" s="33">
        <f>17371.47</f>
        <v>17371.47</v>
      </c>
      <c r="T189" s="30">
        <f>475</f>
        <v>475</v>
      </c>
      <c r="U189" s="30">
        <f>3</f>
        <v>3</v>
      </c>
      <c r="V189" s="30">
        <f>8232635</f>
        <v>8232635</v>
      </c>
      <c r="W189" s="30">
        <f>51330</f>
        <v>51330</v>
      </c>
      <c r="X189" s="34">
        <f>17</f>
        <v>17</v>
      </c>
    </row>
    <row r="190" spans="1:24">
      <c r="A190" s="25" t="s">
        <v>1078</v>
      </c>
      <c r="B190" s="25" t="s">
        <v>497</v>
      </c>
      <c r="C190" s="25" t="s">
        <v>498</v>
      </c>
      <c r="D190" s="25" t="s">
        <v>499</v>
      </c>
      <c r="E190" s="26" t="s">
        <v>43</v>
      </c>
      <c r="F190" s="27" t="s">
        <v>43</v>
      </c>
      <c r="G190" s="28" t="s">
        <v>43</v>
      </c>
      <c r="H190" s="29"/>
      <c r="I190" s="29" t="s">
        <v>465</v>
      </c>
      <c r="J190" s="30">
        <v>1</v>
      </c>
      <c r="K190" s="31">
        <f>25900</f>
        <v>25900</v>
      </c>
      <c r="L190" s="32" t="s">
        <v>675</v>
      </c>
      <c r="M190" s="31">
        <f>26900</f>
        <v>26900</v>
      </c>
      <c r="N190" s="32" t="s">
        <v>681</v>
      </c>
      <c r="O190" s="31">
        <f>25680</f>
        <v>25680</v>
      </c>
      <c r="P190" s="32" t="s">
        <v>675</v>
      </c>
      <c r="Q190" s="31">
        <f>26900</f>
        <v>26900</v>
      </c>
      <c r="R190" s="32" t="s">
        <v>681</v>
      </c>
      <c r="S190" s="33">
        <f>26294.74</f>
        <v>26294.74</v>
      </c>
      <c r="T190" s="30">
        <f>13676</f>
        <v>13676</v>
      </c>
      <c r="U190" s="30" t="str">
        <f>"－"</f>
        <v>－</v>
      </c>
      <c r="V190" s="30">
        <f>359617505</f>
        <v>359617505</v>
      </c>
      <c r="W190" s="30" t="str">
        <f>"－"</f>
        <v>－</v>
      </c>
      <c r="X190" s="34">
        <f>19</f>
        <v>19</v>
      </c>
    </row>
    <row r="191" spans="1:24">
      <c r="A191" s="25" t="s">
        <v>1078</v>
      </c>
      <c r="B191" s="25" t="s">
        <v>500</v>
      </c>
      <c r="C191" s="25" t="s">
        <v>501</v>
      </c>
      <c r="D191" s="25" t="s">
        <v>502</v>
      </c>
      <c r="E191" s="26" t="s">
        <v>43</v>
      </c>
      <c r="F191" s="27" t="s">
        <v>43</v>
      </c>
      <c r="G191" s="28" t="s">
        <v>43</v>
      </c>
      <c r="H191" s="29"/>
      <c r="I191" s="29" t="s">
        <v>465</v>
      </c>
      <c r="J191" s="30">
        <v>1</v>
      </c>
      <c r="K191" s="31">
        <f>16200</f>
        <v>16200</v>
      </c>
      <c r="L191" s="32" t="s">
        <v>675</v>
      </c>
      <c r="M191" s="31">
        <f>16915</f>
        <v>16915</v>
      </c>
      <c r="N191" s="32" t="s">
        <v>682</v>
      </c>
      <c r="O191" s="31">
        <f>15865</f>
        <v>15865</v>
      </c>
      <c r="P191" s="32" t="s">
        <v>777</v>
      </c>
      <c r="Q191" s="31">
        <f>16190</f>
        <v>16190</v>
      </c>
      <c r="R191" s="32" t="s">
        <v>681</v>
      </c>
      <c r="S191" s="33">
        <f>16419</f>
        <v>16419</v>
      </c>
      <c r="T191" s="30">
        <f>447</f>
        <v>447</v>
      </c>
      <c r="U191" s="30" t="str">
        <f>"－"</f>
        <v>－</v>
      </c>
      <c r="V191" s="30">
        <f>7340525</f>
        <v>7340525</v>
      </c>
      <c r="W191" s="30" t="str">
        <f>"－"</f>
        <v>－</v>
      </c>
      <c r="X191" s="34">
        <f>15</f>
        <v>15</v>
      </c>
    </row>
    <row r="192" spans="1:24">
      <c r="A192" s="25" t="s">
        <v>1078</v>
      </c>
      <c r="B192" s="25" t="s">
        <v>503</v>
      </c>
      <c r="C192" s="25" t="s">
        <v>504</v>
      </c>
      <c r="D192" s="25" t="s">
        <v>505</v>
      </c>
      <c r="E192" s="26" t="s">
        <v>43</v>
      </c>
      <c r="F192" s="27" t="s">
        <v>43</v>
      </c>
      <c r="G192" s="28" t="s">
        <v>43</v>
      </c>
      <c r="H192" s="29"/>
      <c r="I192" s="29" t="s">
        <v>465</v>
      </c>
      <c r="J192" s="30">
        <v>1</v>
      </c>
      <c r="K192" s="31">
        <f>26180</f>
        <v>26180</v>
      </c>
      <c r="L192" s="32" t="s">
        <v>675</v>
      </c>
      <c r="M192" s="31">
        <f>28680</f>
        <v>28680</v>
      </c>
      <c r="N192" s="32" t="s">
        <v>760</v>
      </c>
      <c r="O192" s="31">
        <f>25940</f>
        <v>25940</v>
      </c>
      <c r="P192" s="32" t="s">
        <v>675</v>
      </c>
      <c r="Q192" s="31">
        <f>27500</f>
        <v>27500</v>
      </c>
      <c r="R192" s="32" t="s">
        <v>681</v>
      </c>
      <c r="S192" s="33">
        <f>27125.26</f>
        <v>27125.26</v>
      </c>
      <c r="T192" s="30">
        <f>123948</f>
        <v>123948</v>
      </c>
      <c r="U192" s="30">
        <f>145</f>
        <v>145</v>
      </c>
      <c r="V192" s="30">
        <f>3368276485</f>
        <v>3368276485</v>
      </c>
      <c r="W192" s="30">
        <f>3931395</f>
        <v>3931395</v>
      </c>
      <c r="X192" s="34">
        <f>19</f>
        <v>19</v>
      </c>
    </row>
    <row r="193" spans="1:24">
      <c r="A193" s="25" t="s">
        <v>1078</v>
      </c>
      <c r="B193" s="25" t="s">
        <v>506</v>
      </c>
      <c r="C193" s="25" t="s">
        <v>507</v>
      </c>
      <c r="D193" s="25" t="s">
        <v>508</v>
      </c>
      <c r="E193" s="26" t="s">
        <v>43</v>
      </c>
      <c r="F193" s="27" t="s">
        <v>43</v>
      </c>
      <c r="G193" s="28" t="s">
        <v>43</v>
      </c>
      <c r="H193" s="29"/>
      <c r="I193" s="29" t="s">
        <v>465</v>
      </c>
      <c r="J193" s="30">
        <v>1</v>
      </c>
      <c r="K193" s="31">
        <f>3900</f>
        <v>3900</v>
      </c>
      <c r="L193" s="32" t="s">
        <v>675</v>
      </c>
      <c r="M193" s="31">
        <f>4030</f>
        <v>4030</v>
      </c>
      <c r="N193" s="32" t="s">
        <v>678</v>
      </c>
      <c r="O193" s="31">
        <f>3750</f>
        <v>3750</v>
      </c>
      <c r="P193" s="32" t="s">
        <v>875</v>
      </c>
      <c r="Q193" s="31">
        <f>3890</f>
        <v>3890</v>
      </c>
      <c r="R193" s="32" t="s">
        <v>681</v>
      </c>
      <c r="S193" s="33">
        <f>3892.89</f>
        <v>3892.89</v>
      </c>
      <c r="T193" s="30">
        <f>9592</f>
        <v>9592</v>
      </c>
      <c r="U193" s="30" t="str">
        <f>"－"</f>
        <v>－</v>
      </c>
      <c r="V193" s="30">
        <f>37550720</f>
        <v>37550720</v>
      </c>
      <c r="W193" s="30" t="str">
        <f>"－"</f>
        <v>－</v>
      </c>
      <c r="X193" s="34">
        <f>19</f>
        <v>19</v>
      </c>
    </row>
    <row r="194" spans="1:24">
      <c r="A194" s="25" t="s">
        <v>1078</v>
      </c>
      <c r="B194" s="25" t="s">
        <v>509</v>
      </c>
      <c r="C194" s="25" t="s">
        <v>510</v>
      </c>
      <c r="D194" s="25" t="s">
        <v>511</v>
      </c>
      <c r="E194" s="26" t="s">
        <v>43</v>
      </c>
      <c r="F194" s="27" t="s">
        <v>43</v>
      </c>
      <c r="G194" s="28" t="s">
        <v>43</v>
      </c>
      <c r="H194" s="29"/>
      <c r="I194" s="29" t="s">
        <v>465</v>
      </c>
      <c r="J194" s="30">
        <v>1</v>
      </c>
      <c r="K194" s="31">
        <f>22810</f>
        <v>22810</v>
      </c>
      <c r="L194" s="32" t="s">
        <v>675</v>
      </c>
      <c r="M194" s="31">
        <f>26380</f>
        <v>26380</v>
      </c>
      <c r="N194" s="32" t="s">
        <v>777</v>
      </c>
      <c r="O194" s="31">
        <f>22810</f>
        <v>22810</v>
      </c>
      <c r="P194" s="32" t="s">
        <v>675</v>
      </c>
      <c r="Q194" s="31">
        <f>25935</f>
        <v>25935</v>
      </c>
      <c r="R194" s="32" t="s">
        <v>681</v>
      </c>
      <c r="S194" s="33">
        <f>25330.53</f>
        <v>25330.53</v>
      </c>
      <c r="T194" s="30">
        <f>2903</f>
        <v>2903</v>
      </c>
      <c r="U194" s="30" t="str">
        <f>"－"</f>
        <v>－</v>
      </c>
      <c r="V194" s="30">
        <f>72307650</f>
        <v>72307650</v>
      </c>
      <c r="W194" s="30" t="str">
        <f>"－"</f>
        <v>－</v>
      </c>
      <c r="X194" s="34">
        <f>19</f>
        <v>19</v>
      </c>
    </row>
    <row r="195" spans="1:24">
      <c r="A195" s="25" t="s">
        <v>1078</v>
      </c>
      <c r="B195" s="25" t="s">
        <v>512</v>
      </c>
      <c r="C195" s="25" t="s">
        <v>513</v>
      </c>
      <c r="D195" s="25" t="s">
        <v>514</v>
      </c>
      <c r="E195" s="26" t="s">
        <v>43</v>
      </c>
      <c r="F195" s="27" t="s">
        <v>43</v>
      </c>
      <c r="G195" s="28" t="s">
        <v>43</v>
      </c>
      <c r="H195" s="29"/>
      <c r="I195" s="29" t="s">
        <v>465</v>
      </c>
      <c r="J195" s="30">
        <v>1</v>
      </c>
      <c r="K195" s="31">
        <f>16545</f>
        <v>16545</v>
      </c>
      <c r="L195" s="32" t="s">
        <v>674</v>
      </c>
      <c r="M195" s="31">
        <f>17540</f>
        <v>17540</v>
      </c>
      <c r="N195" s="32" t="s">
        <v>778</v>
      </c>
      <c r="O195" s="31">
        <f>16545</f>
        <v>16545</v>
      </c>
      <c r="P195" s="32" t="s">
        <v>674</v>
      </c>
      <c r="Q195" s="31">
        <f>17315</f>
        <v>17315</v>
      </c>
      <c r="R195" s="32" t="s">
        <v>883</v>
      </c>
      <c r="S195" s="33">
        <f>17149.29</f>
        <v>17149.29</v>
      </c>
      <c r="T195" s="30">
        <f>39</f>
        <v>39</v>
      </c>
      <c r="U195" s="30" t="str">
        <f>"－"</f>
        <v>－</v>
      </c>
      <c r="V195" s="30">
        <f>673915</f>
        <v>673915</v>
      </c>
      <c r="W195" s="30" t="str">
        <f>"－"</f>
        <v>－</v>
      </c>
      <c r="X195" s="34">
        <f>7</f>
        <v>7</v>
      </c>
    </row>
    <row r="196" spans="1:24">
      <c r="A196" s="25" t="s">
        <v>1078</v>
      </c>
      <c r="B196" s="25" t="s">
        <v>515</v>
      </c>
      <c r="C196" s="25" t="s">
        <v>516</v>
      </c>
      <c r="D196" s="25" t="s">
        <v>517</v>
      </c>
      <c r="E196" s="26" t="s">
        <v>43</v>
      </c>
      <c r="F196" s="27" t="s">
        <v>43</v>
      </c>
      <c r="G196" s="28" t="s">
        <v>43</v>
      </c>
      <c r="H196" s="29"/>
      <c r="I196" s="29" t="s">
        <v>465</v>
      </c>
      <c r="J196" s="30">
        <v>1</v>
      </c>
      <c r="K196" s="31">
        <f>27015</f>
        <v>27015</v>
      </c>
      <c r="L196" s="32" t="s">
        <v>675</v>
      </c>
      <c r="M196" s="31">
        <f>29530</f>
        <v>29530</v>
      </c>
      <c r="N196" s="32" t="s">
        <v>778</v>
      </c>
      <c r="O196" s="31">
        <f>27015</f>
        <v>27015</v>
      </c>
      <c r="P196" s="32" t="s">
        <v>675</v>
      </c>
      <c r="Q196" s="31">
        <f>29350</f>
        <v>29350</v>
      </c>
      <c r="R196" s="32" t="s">
        <v>681</v>
      </c>
      <c r="S196" s="33">
        <f>28738.75</f>
        <v>28738.75</v>
      </c>
      <c r="T196" s="30">
        <f>290</f>
        <v>290</v>
      </c>
      <c r="U196" s="30" t="str">
        <f>"－"</f>
        <v>－</v>
      </c>
      <c r="V196" s="30">
        <f>8237300</f>
        <v>8237300</v>
      </c>
      <c r="W196" s="30" t="str">
        <f>"－"</f>
        <v>－</v>
      </c>
      <c r="X196" s="34">
        <f>16</f>
        <v>16</v>
      </c>
    </row>
    <row r="197" spans="1:24">
      <c r="A197" s="25" t="s">
        <v>1078</v>
      </c>
      <c r="B197" s="25" t="s">
        <v>518</v>
      </c>
      <c r="C197" s="25" t="s">
        <v>519</v>
      </c>
      <c r="D197" s="25" t="s">
        <v>520</v>
      </c>
      <c r="E197" s="26" t="s">
        <v>43</v>
      </c>
      <c r="F197" s="27" t="s">
        <v>43</v>
      </c>
      <c r="G197" s="28" t="s">
        <v>43</v>
      </c>
      <c r="H197" s="29"/>
      <c r="I197" s="29" t="s">
        <v>465</v>
      </c>
      <c r="J197" s="30">
        <v>1</v>
      </c>
      <c r="K197" s="31">
        <f>17770</f>
        <v>17770</v>
      </c>
      <c r="L197" s="32" t="s">
        <v>675</v>
      </c>
      <c r="M197" s="31">
        <f>18670</f>
        <v>18670</v>
      </c>
      <c r="N197" s="32" t="s">
        <v>875</v>
      </c>
      <c r="O197" s="31">
        <f>17770</f>
        <v>17770</v>
      </c>
      <c r="P197" s="32" t="s">
        <v>675</v>
      </c>
      <c r="Q197" s="31">
        <f>18670</f>
        <v>18670</v>
      </c>
      <c r="R197" s="32" t="s">
        <v>883</v>
      </c>
      <c r="S197" s="33">
        <f>18352.86</f>
        <v>18352.86</v>
      </c>
      <c r="T197" s="30">
        <f>4988</f>
        <v>4988</v>
      </c>
      <c r="U197" s="30" t="str">
        <f>"－"</f>
        <v>－</v>
      </c>
      <c r="V197" s="30">
        <f>89949170</f>
        <v>89949170</v>
      </c>
      <c r="W197" s="30" t="str">
        <f>"－"</f>
        <v>－</v>
      </c>
      <c r="X197" s="34">
        <f>7</f>
        <v>7</v>
      </c>
    </row>
    <row r="198" spans="1:24">
      <c r="A198" s="25" t="s">
        <v>1078</v>
      </c>
      <c r="B198" s="25" t="s">
        <v>521</v>
      </c>
      <c r="C198" s="25" t="s">
        <v>522</v>
      </c>
      <c r="D198" s="25" t="s">
        <v>523</v>
      </c>
      <c r="E198" s="26" t="s">
        <v>43</v>
      </c>
      <c r="F198" s="27" t="s">
        <v>43</v>
      </c>
      <c r="G198" s="28" t="s">
        <v>43</v>
      </c>
      <c r="H198" s="29"/>
      <c r="I198" s="29" t="s">
        <v>465</v>
      </c>
      <c r="J198" s="30">
        <v>1</v>
      </c>
      <c r="K198" s="31">
        <f>16340</f>
        <v>16340</v>
      </c>
      <c r="L198" s="32" t="s">
        <v>675</v>
      </c>
      <c r="M198" s="31">
        <f>18025</f>
        <v>18025</v>
      </c>
      <c r="N198" s="32" t="s">
        <v>778</v>
      </c>
      <c r="O198" s="31">
        <f>16340</f>
        <v>16340</v>
      </c>
      <c r="P198" s="32" t="s">
        <v>675</v>
      </c>
      <c r="Q198" s="31">
        <f>17840</f>
        <v>17840</v>
      </c>
      <c r="R198" s="32" t="s">
        <v>777</v>
      </c>
      <c r="S198" s="33">
        <f>17551.56</f>
        <v>17551.560000000001</v>
      </c>
      <c r="T198" s="30">
        <f>840</f>
        <v>840</v>
      </c>
      <c r="U198" s="30">
        <f>1</f>
        <v>1</v>
      </c>
      <c r="V198" s="30">
        <f>14697930</f>
        <v>14697930</v>
      </c>
      <c r="W198" s="30">
        <f>16955</f>
        <v>16955</v>
      </c>
      <c r="X198" s="34">
        <f>16</f>
        <v>16</v>
      </c>
    </row>
    <row r="199" spans="1:24">
      <c r="A199" s="25" t="s">
        <v>1078</v>
      </c>
      <c r="B199" s="25" t="s">
        <v>524</v>
      </c>
      <c r="C199" s="25" t="s">
        <v>525</v>
      </c>
      <c r="D199" s="25" t="s">
        <v>526</v>
      </c>
      <c r="E199" s="26" t="s">
        <v>43</v>
      </c>
      <c r="F199" s="27" t="s">
        <v>43</v>
      </c>
      <c r="G199" s="28" t="s">
        <v>43</v>
      </c>
      <c r="H199" s="29"/>
      <c r="I199" s="29" t="s">
        <v>465</v>
      </c>
      <c r="J199" s="30">
        <v>1</v>
      </c>
      <c r="K199" s="31">
        <f>18790</f>
        <v>18790</v>
      </c>
      <c r="L199" s="32" t="s">
        <v>675</v>
      </c>
      <c r="M199" s="31">
        <f>20565</f>
        <v>20565</v>
      </c>
      <c r="N199" s="32" t="s">
        <v>875</v>
      </c>
      <c r="O199" s="31">
        <f>18790</f>
        <v>18790</v>
      </c>
      <c r="P199" s="32" t="s">
        <v>675</v>
      </c>
      <c r="Q199" s="31">
        <f>20355</f>
        <v>20355</v>
      </c>
      <c r="R199" s="32" t="s">
        <v>875</v>
      </c>
      <c r="S199" s="33">
        <f>19572.5</f>
        <v>19572.5</v>
      </c>
      <c r="T199" s="30">
        <f>41</f>
        <v>41</v>
      </c>
      <c r="U199" s="30" t="str">
        <f t="shared" ref="U199:U204" si="4">"－"</f>
        <v>－</v>
      </c>
      <c r="V199" s="30">
        <f>837190</f>
        <v>837190</v>
      </c>
      <c r="W199" s="30" t="str">
        <f t="shared" ref="W199:W204" si="5">"－"</f>
        <v>－</v>
      </c>
      <c r="X199" s="34">
        <f>2</f>
        <v>2</v>
      </c>
    </row>
    <row r="200" spans="1:24">
      <c r="A200" s="25" t="s">
        <v>1078</v>
      </c>
      <c r="B200" s="25" t="s">
        <v>527</v>
      </c>
      <c r="C200" s="25" t="s">
        <v>528</v>
      </c>
      <c r="D200" s="25" t="s">
        <v>529</v>
      </c>
      <c r="E200" s="26" t="s">
        <v>43</v>
      </c>
      <c r="F200" s="27" t="s">
        <v>43</v>
      </c>
      <c r="G200" s="28" t="s">
        <v>43</v>
      </c>
      <c r="H200" s="29"/>
      <c r="I200" s="29" t="s">
        <v>465</v>
      </c>
      <c r="J200" s="30">
        <v>1</v>
      </c>
      <c r="K200" s="31">
        <f>17555</f>
        <v>17555</v>
      </c>
      <c r="L200" s="32" t="s">
        <v>683</v>
      </c>
      <c r="M200" s="31">
        <f>17555</f>
        <v>17555</v>
      </c>
      <c r="N200" s="32" t="s">
        <v>683</v>
      </c>
      <c r="O200" s="31">
        <f>17255</f>
        <v>17255</v>
      </c>
      <c r="P200" s="32" t="s">
        <v>676</v>
      </c>
      <c r="Q200" s="31">
        <f>17370</f>
        <v>17370</v>
      </c>
      <c r="R200" s="32" t="s">
        <v>681</v>
      </c>
      <c r="S200" s="33">
        <f>17377.5</f>
        <v>17377.5</v>
      </c>
      <c r="T200" s="30">
        <f>326</f>
        <v>326</v>
      </c>
      <c r="U200" s="30" t="str">
        <f t="shared" si="4"/>
        <v>－</v>
      </c>
      <c r="V200" s="30">
        <f>5664170</f>
        <v>5664170</v>
      </c>
      <c r="W200" s="30" t="str">
        <f t="shared" si="5"/>
        <v>－</v>
      </c>
      <c r="X200" s="34">
        <f>4</f>
        <v>4</v>
      </c>
    </row>
    <row r="201" spans="1:24">
      <c r="A201" s="25" t="s">
        <v>1078</v>
      </c>
      <c r="B201" s="25" t="s">
        <v>530</v>
      </c>
      <c r="C201" s="25" t="s">
        <v>531</v>
      </c>
      <c r="D201" s="25" t="s">
        <v>532</v>
      </c>
      <c r="E201" s="26" t="s">
        <v>43</v>
      </c>
      <c r="F201" s="27" t="s">
        <v>43</v>
      </c>
      <c r="G201" s="28" t="s">
        <v>43</v>
      </c>
      <c r="H201" s="29"/>
      <c r="I201" s="29" t="s">
        <v>465</v>
      </c>
      <c r="J201" s="30">
        <v>1</v>
      </c>
      <c r="K201" s="31">
        <f>10560</f>
        <v>10560</v>
      </c>
      <c r="L201" s="32" t="s">
        <v>674</v>
      </c>
      <c r="M201" s="31">
        <f>11150</f>
        <v>11150</v>
      </c>
      <c r="N201" s="32" t="s">
        <v>778</v>
      </c>
      <c r="O201" s="31">
        <f>10560</f>
        <v>10560</v>
      </c>
      <c r="P201" s="32" t="s">
        <v>674</v>
      </c>
      <c r="Q201" s="31">
        <f>11025</f>
        <v>11025</v>
      </c>
      <c r="R201" s="32" t="s">
        <v>681</v>
      </c>
      <c r="S201" s="33">
        <f>10955</f>
        <v>10955</v>
      </c>
      <c r="T201" s="30">
        <f>3501</f>
        <v>3501</v>
      </c>
      <c r="U201" s="30" t="str">
        <f t="shared" si="4"/>
        <v>－</v>
      </c>
      <c r="V201" s="30">
        <f>38459780</f>
        <v>38459780</v>
      </c>
      <c r="W201" s="30" t="str">
        <f t="shared" si="5"/>
        <v>－</v>
      </c>
      <c r="X201" s="34">
        <f>13</f>
        <v>13</v>
      </c>
    </row>
    <row r="202" spans="1:24">
      <c r="A202" s="25" t="s">
        <v>1078</v>
      </c>
      <c r="B202" s="25" t="s">
        <v>533</v>
      </c>
      <c r="C202" s="25" t="s">
        <v>534</v>
      </c>
      <c r="D202" s="25" t="s">
        <v>535</v>
      </c>
      <c r="E202" s="26" t="s">
        <v>43</v>
      </c>
      <c r="F202" s="27" t="s">
        <v>43</v>
      </c>
      <c r="G202" s="28" t="s">
        <v>43</v>
      </c>
      <c r="H202" s="29"/>
      <c r="I202" s="29" t="s">
        <v>465</v>
      </c>
      <c r="J202" s="30">
        <v>1</v>
      </c>
      <c r="K202" s="31">
        <f>12590</f>
        <v>12590</v>
      </c>
      <c r="L202" s="32" t="s">
        <v>675</v>
      </c>
      <c r="M202" s="31">
        <f>13470</f>
        <v>13470</v>
      </c>
      <c r="N202" s="32" t="s">
        <v>778</v>
      </c>
      <c r="O202" s="31">
        <f>12540</f>
        <v>12540</v>
      </c>
      <c r="P202" s="32" t="s">
        <v>675</v>
      </c>
      <c r="Q202" s="31">
        <f>13185</f>
        <v>13185</v>
      </c>
      <c r="R202" s="32" t="s">
        <v>681</v>
      </c>
      <c r="S202" s="33">
        <f>13084.44</f>
        <v>13084.44</v>
      </c>
      <c r="T202" s="30">
        <f>24920</f>
        <v>24920</v>
      </c>
      <c r="U202" s="30" t="str">
        <f t="shared" si="4"/>
        <v>－</v>
      </c>
      <c r="V202" s="30">
        <f>326890400</f>
        <v>326890400</v>
      </c>
      <c r="W202" s="30" t="str">
        <f t="shared" si="5"/>
        <v>－</v>
      </c>
      <c r="X202" s="34">
        <f>18</f>
        <v>18</v>
      </c>
    </row>
    <row r="203" spans="1:24">
      <c r="A203" s="25" t="s">
        <v>1078</v>
      </c>
      <c r="B203" s="25" t="s">
        <v>536</v>
      </c>
      <c r="C203" s="25" t="s">
        <v>537</v>
      </c>
      <c r="D203" s="25" t="s">
        <v>538</v>
      </c>
      <c r="E203" s="26" t="s">
        <v>43</v>
      </c>
      <c r="F203" s="27" t="s">
        <v>43</v>
      </c>
      <c r="G203" s="28" t="s">
        <v>43</v>
      </c>
      <c r="H203" s="29"/>
      <c r="I203" s="29" t="s">
        <v>465</v>
      </c>
      <c r="J203" s="30">
        <v>1</v>
      </c>
      <c r="K203" s="31">
        <f>11520</f>
        <v>11520</v>
      </c>
      <c r="L203" s="32" t="s">
        <v>675</v>
      </c>
      <c r="M203" s="31">
        <f>12175</f>
        <v>12175</v>
      </c>
      <c r="N203" s="32" t="s">
        <v>875</v>
      </c>
      <c r="O203" s="31">
        <f>11520</f>
        <v>11520</v>
      </c>
      <c r="P203" s="32" t="s">
        <v>675</v>
      </c>
      <c r="Q203" s="31">
        <f>12050</f>
        <v>12050</v>
      </c>
      <c r="R203" s="32" t="s">
        <v>883</v>
      </c>
      <c r="S203" s="33">
        <f>11960.31</f>
        <v>11960.31</v>
      </c>
      <c r="T203" s="30">
        <f>7625</f>
        <v>7625</v>
      </c>
      <c r="U203" s="30" t="str">
        <f t="shared" si="4"/>
        <v>－</v>
      </c>
      <c r="V203" s="30">
        <f>91767315</f>
        <v>91767315</v>
      </c>
      <c r="W203" s="30" t="str">
        <f t="shared" si="5"/>
        <v>－</v>
      </c>
      <c r="X203" s="34">
        <f>16</f>
        <v>16</v>
      </c>
    </row>
    <row r="204" spans="1:24">
      <c r="A204" s="25" t="s">
        <v>1078</v>
      </c>
      <c r="B204" s="25" t="s">
        <v>783</v>
      </c>
      <c r="C204" s="25" t="s">
        <v>784</v>
      </c>
      <c r="D204" s="25" t="s">
        <v>785</v>
      </c>
      <c r="E204" s="26" t="s">
        <v>43</v>
      </c>
      <c r="F204" s="27" t="s">
        <v>43</v>
      </c>
      <c r="G204" s="28" t="s">
        <v>43</v>
      </c>
      <c r="H204" s="29"/>
      <c r="I204" s="29" t="s">
        <v>465</v>
      </c>
      <c r="J204" s="30">
        <v>1</v>
      </c>
      <c r="K204" s="31">
        <f>12035</f>
        <v>12035</v>
      </c>
      <c r="L204" s="32" t="s">
        <v>675</v>
      </c>
      <c r="M204" s="31">
        <f>12530</f>
        <v>12530</v>
      </c>
      <c r="N204" s="32" t="s">
        <v>684</v>
      </c>
      <c r="O204" s="31">
        <f>12035</f>
        <v>12035</v>
      </c>
      <c r="P204" s="32" t="s">
        <v>675</v>
      </c>
      <c r="Q204" s="31">
        <f>12250</f>
        <v>12250</v>
      </c>
      <c r="R204" s="32" t="s">
        <v>681</v>
      </c>
      <c r="S204" s="33">
        <f>12258.75</f>
        <v>12258.75</v>
      </c>
      <c r="T204" s="30">
        <f>2364</f>
        <v>2364</v>
      </c>
      <c r="U204" s="30" t="str">
        <f t="shared" si="4"/>
        <v>－</v>
      </c>
      <c r="V204" s="30">
        <f>29355505</f>
        <v>29355505</v>
      </c>
      <c r="W204" s="30" t="str">
        <f t="shared" si="5"/>
        <v>－</v>
      </c>
      <c r="X204" s="34">
        <f>4</f>
        <v>4</v>
      </c>
    </row>
    <row r="205" spans="1:24">
      <c r="A205" s="25" t="s">
        <v>1078</v>
      </c>
      <c r="B205" s="25" t="s">
        <v>991</v>
      </c>
      <c r="C205" s="25" t="s">
        <v>992</v>
      </c>
      <c r="D205" s="25" t="s">
        <v>993</v>
      </c>
      <c r="E205" s="26" t="s">
        <v>43</v>
      </c>
      <c r="F205" s="27" t="s">
        <v>43</v>
      </c>
      <c r="G205" s="28" t="s">
        <v>43</v>
      </c>
      <c r="H205" s="29"/>
      <c r="I205" s="29" t="s">
        <v>44</v>
      </c>
      <c r="J205" s="30">
        <v>1</v>
      </c>
      <c r="K205" s="31">
        <f>994</f>
        <v>994</v>
      </c>
      <c r="L205" s="32" t="s">
        <v>675</v>
      </c>
      <c r="M205" s="31">
        <f>1083</f>
        <v>1083</v>
      </c>
      <c r="N205" s="32" t="s">
        <v>681</v>
      </c>
      <c r="O205" s="31">
        <f>988</f>
        <v>988</v>
      </c>
      <c r="P205" s="32" t="s">
        <v>675</v>
      </c>
      <c r="Q205" s="31">
        <f>1083</f>
        <v>1083</v>
      </c>
      <c r="R205" s="32" t="s">
        <v>681</v>
      </c>
      <c r="S205" s="33">
        <f>1050.95</f>
        <v>1050.95</v>
      </c>
      <c r="T205" s="30">
        <f>11201233</f>
        <v>11201233</v>
      </c>
      <c r="U205" s="30">
        <f>56938</f>
        <v>56938</v>
      </c>
      <c r="V205" s="30">
        <f>11729203813</f>
        <v>11729203813</v>
      </c>
      <c r="W205" s="30">
        <f>58660583</f>
        <v>58660583</v>
      </c>
      <c r="X205" s="34">
        <f>19</f>
        <v>19</v>
      </c>
    </row>
    <row r="206" spans="1:24">
      <c r="A206" s="25" t="s">
        <v>1078</v>
      </c>
      <c r="B206" s="25" t="s">
        <v>994</v>
      </c>
      <c r="C206" s="25" t="s">
        <v>995</v>
      </c>
      <c r="D206" s="25" t="s">
        <v>996</v>
      </c>
      <c r="E206" s="26" t="s">
        <v>43</v>
      </c>
      <c r="F206" s="27" t="s">
        <v>43</v>
      </c>
      <c r="G206" s="28" t="s">
        <v>43</v>
      </c>
      <c r="H206" s="29"/>
      <c r="I206" s="29" t="s">
        <v>44</v>
      </c>
      <c r="J206" s="30">
        <v>1</v>
      </c>
      <c r="K206" s="31">
        <f>987</f>
        <v>987</v>
      </c>
      <c r="L206" s="32" t="s">
        <v>675</v>
      </c>
      <c r="M206" s="31">
        <f>1080</f>
        <v>1080</v>
      </c>
      <c r="N206" s="32" t="s">
        <v>681</v>
      </c>
      <c r="O206" s="31">
        <f>977</f>
        <v>977</v>
      </c>
      <c r="P206" s="32" t="s">
        <v>675</v>
      </c>
      <c r="Q206" s="31">
        <f>1075</f>
        <v>1075</v>
      </c>
      <c r="R206" s="32" t="s">
        <v>681</v>
      </c>
      <c r="S206" s="33">
        <f>1046.37</f>
        <v>1046.3699999999999</v>
      </c>
      <c r="T206" s="30">
        <f>101262</f>
        <v>101262</v>
      </c>
      <c r="U206" s="30" t="str">
        <f>"－"</f>
        <v>－</v>
      </c>
      <c r="V206" s="30">
        <f>105957756</f>
        <v>105957756</v>
      </c>
      <c r="W206" s="30" t="str">
        <f>"－"</f>
        <v>－</v>
      </c>
      <c r="X206" s="34">
        <f>19</f>
        <v>19</v>
      </c>
    </row>
    <row r="207" spans="1:24">
      <c r="A207" s="25" t="s">
        <v>1078</v>
      </c>
      <c r="B207" s="25" t="s">
        <v>997</v>
      </c>
      <c r="C207" s="25" t="s">
        <v>998</v>
      </c>
      <c r="D207" s="25" t="s">
        <v>999</v>
      </c>
      <c r="E207" s="26" t="s">
        <v>43</v>
      </c>
      <c r="F207" s="27" t="s">
        <v>43</v>
      </c>
      <c r="G207" s="28" t="s">
        <v>43</v>
      </c>
      <c r="H207" s="29"/>
      <c r="I207" s="29" t="s">
        <v>44</v>
      </c>
      <c r="J207" s="30">
        <v>1</v>
      </c>
      <c r="K207" s="31">
        <f>961</f>
        <v>961</v>
      </c>
      <c r="L207" s="32" t="s">
        <v>675</v>
      </c>
      <c r="M207" s="31">
        <f>1036</f>
        <v>1036</v>
      </c>
      <c r="N207" s="32" t="s">
        <v>778</v>
      </c>
      <c r="O207" s="31">
        <f>953</f>
        <v>953</v>
      </c>
      <c r="P207" s="32" t="s">
        <v>675</v>
      </c>
      <c r="Q207" s="31">
        <f>1023</f>
        <v>1023</v>
      </c>
      <c r="R207" s="32" t="s">
        <v>681</v>
      </c>
      <c r="S207" s="33">
        <f>1007.74</f>
        <v>1007.74</v>
      </c>
      <c r="T207" s="30">
        <f>87170</f>
        <v>87170</v>
      </c>
      <c r="U207" s="30" t="str">
        <f>"－"</f>
        <v>－</v>
      </c>
      <c r="V207" s="30">
        <f>87524599</f>
        <v>87524599</v>
      </c>
      <c r="W207" s="30" t="str">
        <f>"－"</f>
        <v>－</v>
      </c>
      <c r="X207" s="34">
        <f>19</f>
        <v>19</v>
      </c>
    </row>
    <row r="208" spans="1:24">
      <c r="A208" s="25" t="s">
        <v>1078</v>
      </c>
      <c r="B208" s="25" t="s">
        <v>1000</v>
      </c>
      <c r="C208" s="25" t="s">
        <v>1001</v>
      </c>
      <c r="D208" s="25" t="s">
        <v>1002</v>
      </c>
      <c r="E208" s="26" t="s">
        <v>43</v>
      </c>
      <c r="F208" s="27" t="s">
        <v>43</v>
      </c>
      <c r="G208" s="28" t="s">
        <v>43</v>
      </c>
      <c r="H208" s="29"/>
      <c r="I208" s="29" t="s">
        <v>44</v>
      </c>
      <c r="J208" s="30">
        <v>1</v>
      </c>
      <c r="K208" s="31">
        <f>2007</f>
        <v>2007</v>
      </c>
      <c r="L208" s="32" t="s">
        <v>675</v>
      </c>
      <c r="M208" s="31">
        <f>2165</f>
        <v>2165</v>
      </c>
      <c r="N208" s="32" t="s">
        <v>778</v>
      </c>
      <c r="O208" s="31">
        <f>1989</f>
        <v>1989</v>
      </c>
      <c r="P208" s="32" t="s">
        <v>675</v>
      </c>
      <c r="Q208" s="31">
        <f>2128</f>
        <v>2128</v>
      </c>
      <c r="R208" s="32" t="s">
        <v>681</v>
      </c>
      <c r="S208" s="33">
        <f>2100.84</f>
        <v>2100.84</v>
      </c>
      <c r="T208" s="30">
        <f>870659</f>
        <v>870659</v>
      </c>
      <c r="U208" s="30">
        <f>399060</f>
        <v>399060</v>
      </c>
      <c r="V208" s="30">
        <f>1827192758</f>
        <v>1827192758</v>
      </c>
      <c r="W208" s="30">
        <f>840021510</f>
        <v>840021510</v>
      </c>
      <c r="X208" s="34">
        <f>19</f>
        <v>19</v>
      </c>
    </row>
    <row r="209" spans="1:24">
      <c r="A209" s="25" t="s">
        <v>1078</v>
      </c>
      <c r="B209" s="25" t="s">
        <v>1003</v>
      </c>
      <c r="C209" s="25" t="s">
        <v>1004</v>
      </c>
      <c r="D209" s="25" t="s">
        <v>1005</v>
      </c>
      <c r="E209" s="26" t="s">
        <v>43</v>
      </c>
      <c r="F209" s="27" t="s">
        <v>43</v>
      </c>
      <c r="G209" s="28" t="s">
        <v>43</v>
      </c>
      <c r="H209" s="29"/>
      <c r="I209" s="29" t="s">
        <v>44</v>
      </c>
      <c r="J209" s="30">
        <v>1</v>
      </c>
      <c r="K209" s="31">
        <f>2009</f>
        <v>2009</v>
      </c>
      <c r="L209" s="32" t="s">
        <v>675</v>
      </c>
      <c r="M209" s="31">
        <f>2176</f>
        <v>2176</v>
      </c>
      <c r="N209" s="32" t="s">
        <v>681</v>
      </c>
      <c r="O209" s="31">
        <f>1994</f>
        <v>1994</v>
      </c>
      <c r="P209" s="32" t="s">
        <v>675</v>
      </c>
      <c r="Q209" s="31">
        <f>2176</f>
        <v>2176</v>
      </c>
      <c r="R209" s="32" t="s">
        <v>681</v>
      </c>
      <c r="S209" s="33">
        <f>2121.68</f>
        <v>2121.6799999999998</v>
      </c>
      <c r="T209" s="30">
        <f>2049930</f>
        <v>2049930</v>
      </c>
      <c r="U209" s="30">
        <f>390004</f>
        <v>390004</v>
      </c>
      <c r="V209" s="30">
        <f>4354705748</f>
        <v>4354705748</v>
      </c>
      <c r="W209" s="30">
        <f>846697692</f>
        <v>846697692</v>
      </c>
      <c r="X209" s="34">
        <f>19</f>
        <v>19</v>
      </c>
    </row>
    <row r="210" spans="1:24">
      <c r="A210" s="25" t="s">
        <v>1078</v>
      </c>
      <c r="B210" s="25" t="s">
        <v>1006</v>
      </c>
      <c r="C210" s="25" t="s">
        <v>1007</v>
      </c>
      <c r="D210" s="25" t="s">
        <v>1008</v>
      </c>
      <c r="E210" s="26" t="s">
        <v>43</v>
      </c>
      <c r="F210" s="27" t="s">
        <v>43</v>
      </c>
      <c r="G210" s="28" t="s">
        <v>43</v>
      </c>
      <c r="H210" s="29"/>
      <c r="I210" s="29" t="s">
        <v>44</v>
      </c>
      <c r="J210" s="30">
        <v>10</v>
      </c>
      <c r="K210" s="31">
        <f>514.5</f>
        <v>514.5</v>
      </c>
      <c r="L210" s="32" t="s">
        <v>675</v>
      </c>
      <c r="M210" s="31">
        <f>555</f>
        <v>555</v>
      </c>
      <c r="N210" s="32" t="s">
        <v>681</v>
      </c>
      <c r="O210" s="31">
        <f>512.2</f>
        <v>512.20000000000005</v>
      </c>
      <c r="P210" s="32" t="s">
        <v>675</v>
      </c>
      <c r="Q210" s="31">
        <f>555</f>
        <v>555</v>
      </c>
      <c r="R210" s="32" t="s">
        <v>681</v>
      </c>
      <c r="S210" s="33">
        <f>542.67</f>
        <v>542.66999999999996</v>
      </c>
      <c r="T210" s="30">
        <f>5001470</f>
        <v>5001470</v>
      </c>
      <c r="U210" s="30">
        <f>558960</f>
        <v>558960</v>
      </c>
      <c r="V210" s="30">
        <f>2696890092</f>
        <v>2696890092</v>
      </c>
      <c r="W210" s="30">
        <f>299896910</f>
        <v>299896910</v>
      </c>
      <c r="X210" s="34">
        <f>19</f>
        <v>19</v>
      </c>
    </row>
    <row r="211" spans="1:24">
      <c r="A211" s="25" t="s">
        <v>1078</v>
      </c>
      <c r="B211" s="25" t="s">
        <v>1009</v>
      </c>
      <c r="C211" s="25" t="s">
        <v>1010</v>
      </c>
      <c r="D211" s="25" t="s">
        <v>1011</v>
      </c>
      <c r="E211" s="26" t="s">
        <v>43</v>
      </c>
      <c r="F211" s="27" t="s">
        <v>43</v>
      </c>
      <c r="G211" s="28" t="s">
        <v>43</v>
      </c>
      <c r="H211" s="29"/>
      <c r="I211" s="29" t="s">
        <v>44</v>
      </c>
      <c r="J211" s="30">
        <v>10</v>
      </c>
      <c r="K211" s="31">
        <f>2140.5</f>
        <v>2140.5</v>
      </c>
      <c r="L211" s="32" t="s">
        <v>675</v>
      </c>
      <c r="M211" s="31">
        <f>2195</f>
        <v>2195</v>
      </c>
      <c r="N211" s="32" t="s">
        <v>777</v>
      </c>
      <c r="O211" s="31">
        <f>2094.5</f>
        <v>2094.5</v>
      </c>
      <c r="P211" s="32" t="s">
        <v>674</v>
      </c>
      <c r="Q211" s="31">
        <f>2184.5</f>
        <v>2184.5</v>
      </c>
      <c r="R211" s="32" t="s">
        <v>681</v>
      </c>
      <c r="S211" s="33">
        <f>2145.32</f>
        <v>2145.3200000000002</v>
      </c>
      <c r="T211" s="30">
        <f>945650</f>
        <v>945650</v>
      </c>
      <c r="U211" s="30">
        <f>943010</f>
        <v>943010</v>
      </c>
      <c r="V211" s="30">
        <f>2059004619</f>
        <v>2059004619</v>
      </c>
      <c r="W211" s="30">
        <f>2053334429</f>
        <v>2053334429</v>
      </c>
      <c r="X211" s="34">
        <f>11</f>
        <v>11</v>
      </c>
    </row>
    <row r="212" spans="1:24">
      <c r="A212" s="25" t="s">
        <v>1078</v>
      </c>
      <c r="B212" s="25" t="s">
        <v>1012</v>
      </c>
      <c r="C212" s="25" t="s">
        <v>1013</v>
      </c>
      <c r="D212" s="25" t="s">
        <v>1014</v>
      </c>
      <c r="E212" s="26" t="s">
        <v>43</v>
      </c>
      <c r="F212" s="27" t="s">
        <v>43</v>
      </c>
      <c r="G212" s="28" t="s">
        <v>43</v>
      </c>
      <c r="H212" s="29"/>
      <c r="I212" s="29" t="s">
        <v>44</v>
      </c>
      <c r="J212" s="30">
        <v>10</v>
      </c>
      <c r="K212" s="31">
        <f>2215</f>
        <v>2215</v>
      </c>
      <c r="L212" s="32" t="s">
        <v>675</v>
      </c>
      <c r="M212" s="31">
        <f>2296.5</f>
        <v>2296.5</v>
      </c>
      <c r="N212" s="32" t="s">
        <v>777</v>
      </c>
      <c r="O212" s="31">
        <f>2131.5</f>
        <v>2131.5</v>
      </c>
      <c r="P212" s="32" t="s">
        <v>674</v>
      </c>
      <c r="Q212" s="31">
        <f>2261.5</f>
        <v>2261.5</v>
      </c>
      <c r="R212" s="32" t="s">
        <v>681</v>
      </c>
      <c r="S212" s="33">
        <f>2229.06</f>
        <v>2229.06</v>
      </c>
      <c r="T212" s="30">
        <f>230150</f>
        <v>230150</v>
      </c>
      <c r="U212" s="30">
        <f>228060</f>
        <v>228060</v>
      </c>
      <c r="V212" s="30">
        <f>504698564</f>
        <v>504698564</v>
      </c>
      <c r="W212" s="30">
        <f>499998744</f>
        <v>499998744</v>
      </c>
      <c r="X212" s="34">
        <f>16</f>
        <v>16</v>
      </c>
    </row>
    <row r="213" spans="1:24">
      <c r="A213" s="25" t="s">
        <v>1078</v>
      </c>
      <c r="B213" s="25" t="s">
        <v>1015</v>
      </c>
      <c r="C213" s="25" t="s">
        <v>1016</v>
      </c>
      <c r="D213" s="25" t="s">
        <v>1017</v>
      </c>
      <c r="E213" s="26" t="s">
        <v>43</v>
      </c>
      <c r="F213" s="27" t="s">
        <v>43</v>
      </c>
      <c r="G213" s="28" t="s">
        <v>43</v>
      </c>
      <c r="H213" s="29"/>
      <c r="I213" s="29" t="s">
        <v>44</v>
      </c>
      <c r="J213" s="30">
        <v>10</v>
      </c>
      <c r="K213" s="31">
        <f>2153</f>
        <v>2153</v>
      </c>
      <c r="L213" s="32" t="s">
        <v>684</v>
      </c>
      <c r="M213" s="31">
        <f>2161</f>
        <v>2161</v>
      </c>
      <c r="N213" s="32" t="s">
        <v>676</v>
      </c>
      <c r="O213" s="31">
        <f>2153</f>
        <v>2153</v>
      </c>
      <c r="P213" s="32" t="s">
        <v>684</v>
      </c>
      <c r="Q213" s="31">
        <f>2161</f>
        <v>2161</v>
      </c>
      <c r="R213" s="32" t="s">
        <v>676</v>
      </c>
      <c r="S213" s="33">
        <f>2157</f>
        <v>2157</v>
      </c>
      <c r="T213" s="30">
        <f>935520</f>
        <v>935520</v>
      </c>
      <c r="U213" s="30">
        <f>935500</f>
        <v>935500</v>
      </c>
      <c r="V213" s="30">
        <f>2023762562</f>
        <v>2023762562</v>
      </c>
      <c r="W213" s="30">
        <f>2023719422</f>
        <v>2023719422</v>
      </c>
      <c r="X213" s="34">
        <f>2</f>
        <v>2</v>
      </c>
    </row>
    <row r="214" spans="1:24">
      <c r="A214" s="25" t="s">
        <v>1078</v>
      </c>
      <c r="B214" s="25" t="s">
        <v>1018</v>
      </c>
      <c r="C214" s="25" t="s">
        <v>1019</v>
      </c>
      <c r="D214" s="25" t="s">
        <v>1020</v>
      </c>
      <c r="E214" s="26" t="s">
        <v>43</v>
      </c>
      <c r="F214" s="27" t="s">
        <v>43</v>
      </c>
      <c r="G214" s="28" t="s">
        <v>43</v>
      </c>
      <c r="H214" s="29"/>
      <c r="I214" s="29" t="s">
        <v>44</v>
      </c>
      <c r="J214" s="30">
        <v>10</v>
      </c>
      <c r="K214" s="31">
        <f>2131</f>
        <v>2131</v>
      </c>
      <c r="L214" s="32" t="s">
        <v>675</v>
      </c>
      <c r="M214" s="31">
        <f>2131</f>
        <v>2131</v>
      </c>
      <c r="N214" s="32" t="s">
        <v>675</v>
      </c>
      <c r="O214" s="31">
        <f>2093</f>
        <v>2093</v>
      </c>
      <c r="P214" s="32" t="s">
        <v>760</v>
      </c>
      <c r="Q214" s="31">
        <f>2101.5</f>
        <v>2101.5</v>
      </c>
      <c r="R214" s="32" t="s">
        <v>778</v>
      </c>
      <c r="S214" s="33">
        <f>2096.33</f>
        <v>2096.33</v>
      </c>
      <c r="T214" s="30">
        <f>157490</f>
        <v>157490</v>
      </c>
      <c r="U214" s="30" t="str">
        <f>"－"</f>
        <v>－</v>
      </c>
      <c r="V214" s="30">
        <f>330258280</f>
        <v>330258280</v>
      </c>
      <c r="W214" s="30" t="str">
        <f>"－"</f>
        <v>－</v>
      </c>
      <c r="X214" s="34">
        <f>3</f>
        <v>3</v>
      </c>
    </row>
    <row r="215" spans="1:24">
      <c r="A215" s="25" t="s">
        <v>1078</v>
      </c>
      <c r="B215" s="25" t="s">
        <v>1021</v>
      </c>
      <c r="C215" s="25" t="s">
        <v>1022</v>
      </c>
      <c r="D215" s="25" t="s">
        <v>1023</v>
      </c>
      <c r="E215" s="26" t="s">
        <v>43</v>
      </c>
      <c r="F215" s="27" t="s">
        <v>43</v>
      </c>
      <c r="G215" s="28" t="s">
        <v>43</v>
      </c>
      <c r="H215" s="29"/>
      <c r="I215" s="29" t="s">
        <v>44</v>
      </c>
      <c r="J215" s="30">
        <v>10</v>
      </c>
      <c r="K215" s="31">
        <f>5134</f>
        <v>5134</v>
      </c>
      <c r="L215" s="32" t="s">
        <v>876</v>
      </c>
      <c r="M215" s="31">
        <f>5134</f>
        <v>5134</v>
      </c>
      <c r="N215" s="32" t="s">
        <v>876</v>
      </c>
      <c r="O215" s="31">
        <f>5034</f>
        <v>5034</v>
      </c>
      <c r="P215" s="32" t="s">
        <v>678</v>
      </c>
      <c r="Q215" s="31">
        <f>5099</f>
        <v>5099</v>
      </c>
      <c r="R215" s="32" t="s">
        <v>777</v>
      </c>
      <c r="S215" s="33">
        <f>5108.67</f>
        <v>5108.67</v>
      </c>
      <c r="T215" s="30">
        <f>641620</f>
        <v>641620</v>
      </c>
      <c r="U215" s="30">
        <f>620000</f>
        <v>620000</v>
      </c>
      <c r="V215" s="30">
        <f>3311131776</f>
        <v>3311131776</v>
      </c>
      <c r="W215" s="30">
        <f>3200890356</f>
        <v>3200890356</v>
      </c>
      <c r="X215" s="34">
        <f>3</f>
        <v>3</v>
      </c>
    </row>
    <row r="216" spans="1:24">
      <c r="A216" s="25" t="s">
        <v>1078</v>
      </c>
      <c r="B216" s="25" t="s">
        <v>1024</v>
      </c>
      <c r="C216" s="25" t="s">
        <v>1025</v>
      </c>
      <c r="D216" s="25" t="s">
        <v>1026</v>
      </c>
      <c r="E216" s="26" t="s">
        <v>43</v>
      </c>
      <c r="F216" s="27" t="s">
        <v>43</v>
      </c>
      <c r="G216" s="28" t="s">
        <v>43</v>
      </c>
      <c r="H216" s="29"/>
      <c r="I216" s="29" t="s">
        <v>44</v>
      </c>
      <c r="J216" s="30">
        <v>10</v>
      </c>
      <c r="K216" s="31">
        <f>5347</f>
        <v>5347</v>
      </c>
      <c r="L216" s="32" t="s">
        <v>675</v>
      </c>
      <c r="M216" s="31">
        <f>5347</f>
        <v>5347</v>
      </c>
      <c r="N216" s="32" t="s">
        <v>675</v>
      </c>
      <c r="O216" s="31">
        <f>5145</f>
        <v>5145</v>
      </c>
      <c r="P216" s="32" t="s">
        <v>676</v>
      </c>
      <c r="Q216" s="31">
        <f>5145</f>
        <v>5145</v>
      </c>
      <c r="R216" s="32" t="s">
        <v>676</v>
      </c>
      <c r="S216" s="33">
        <f>5214.33</f>
        <v>5214.33</v>
      </c>
      <c r="T216" s="30">
        <f>140</f>
        <v>140</v>
      </c>
      <c r="U216" s="30" t="str">
        <f>"－"</f>
        <v>－</v>
      </c>
      <c r="V216" s="30">
        <f>723580</f>
        <v>723580</v>
      </c>
      <c r="W216" s="30" t="str">
        <f>"－"</f>
        <v>－</v>
      </c>
      <c r="X216" s="34">
        <f>3</f>
        <v>3</v>
      </c>
    </row>
    <row r="217" spans="1:24">
      <c r="A217" s="25" t="s">
        <v>1078</v>
      </c>
      <c r="B217" s="25" t="s">
        <v>1027</v>
      </c>
      <c r="C217" s="25" t="s">
        <v>1028</v>
      </c>
      <c r="D217" s="25" t="s">
        <v>1029</v>
      </c>
      <c r="E217" s="26" t="s">
        <v>43</v>
      </c>
      <c r="F217" s="27" t="s">
        <v>43</v>
      </c>
      <c r="G217" s="28" t="s">
        <v>43</v>
      </c>
      <c r="H217" s="29"/>
      <c r="I217" s="29" t="s">
        <v>44</v>
      </c>
      <c r="J217" s="30">
        <v>10</v>
      </c>
      <c r="K217" s="31">
        <f>5372</f>
        <v>5372</v>
      </c>
      <c r="L217" s="32" t="s">
        <v>675</v>
      </c>
      <c r="M217" s="31">
        <f>5372</f>
        <v>5372</v>
      </c>
      <c r="N217" s="32" t="s">
        <v>675</v>
      </c>
      <c r="O217" s="31">
        <f>5102</f>
        <v>5102</v>
      </c>
      <c r="P217" s="32" t="s">
        <v>684</v>
      </c>
      <c r="Q217" s="31">
        <f>5173</f>
        <v>5173</v>
      </c>
      <c r="R217" s="32" t="s">
        <v>676</v>
      </c>
      <c r="S217" s="33">
        <f>5212.25</f>
        <v>5212.25</v>
      </c>
      <c r="T217" s="30">
        <f>460</f>
        <v>460</v>
      </c>
      <c r="U217" s="30" t="str">
        <f>"－"</f>
        <v>－</v>
      </c>
      <c r="V217" s="30">
        <f>2365890</f>
        <v>2365890</v>
      </c>
      <c r="W217" s="30" t="str">
        <f>"－"</f>
        <v>－</v>
      </c>
      <c r="X217" s="34">
        <f>4</f>
        <v>4</v>
      </c>
    </row>
    <row r="218" spans="1:24">
      <c r="A218" s="25" t="s">
        <v>1078</v>
      </c>
      <c r="B218" s="25" t="s">
        <v>1053</v>
      </c>
      <c r="C218" s="25" t="s">
        <v>1052</v>
      </c>
      <c r="D218" s="25" t="s">
        <v>1051</v>
      </c>
      <c r="E218" s="26" t="s">
        <v>43</v>
      </c>
      <c r="F218" s="27" t="s">
        <v>43</v>
      </c>
      <c r="G218" s="28" t="s">
        <v>43</v>
      </c>
      <c r="H218" s="29"/>
      <c r="I218" s="29" t="s">
        <v>44</v>
      </c>
      <c r="J218" s="30">
        <v>10</v>
      </c>
      <c r="K218" s="31">
        <f>4780</f>
        <v>4780</v>
      </c>
      <c r="L218" s="32" t="s">
        <v>675</v>
      </c>
      <c r="M218" s="31">
        <f>5073</f>
        <v>5073</v>
      </c>
      <c r="N218" s="32" t="s">
        <v>680</v>
      </c>
      <c r="O218" s="31">
        <f>4780</f>
        <v>4780</v>
      </c>
      <c r="P218" s="32" t="s">
        <v>675</v>
      </c>
      <c r="Q218" s="31">
        <f>5007</f>
        <v>5007</v>
      </c>
      <c r="R218" s="32" t="s">
        <v>681</v>
      </c>
      <c r="S218" s="33">
        <f>4963.84</f>
        <v>4963.84</v>
      </c>
      <c r="T218" s="30">
        <f>2243700</f>
        <v>2243700</v>
      </c>
      <c r="U218" s="30">
        <f>2190020</f>
        <v>2190020</v>
      </c>
      <c r="V218" s="30">
        <f>11218116460</f>
        <v>11218116460</v>
      </c>
      <c r="W218" s="30">
        <f>10952121830</f>
        <v>10952121830</v>
      </c>
      <c r="X218" s="34">
        <f>19</f>
        <v>19</v>
      </c>
    </row>
    <row r="219" spans="1:24">
      <c r="A219" s="25" t="s">
        <v>1078</v>
      </c>
      <c r="B219" s="25" t="s">
        <v>1050</v>
      </c>
      <c r="C219" s="25" t="s">
        <v>1049</v>
      </c>
      <c r="D219" s="25" t="s">
        <v>1048</v>
      </c>
      <c r="E219" s="26" t="s">
        <v>43</v>
      </c>
      <c r="F219" s="27" t="s">
        <v>43</v>
      </c>
      <c r="G219" s="28" t="s">
        <v>43</v>
      </c>
      <c r="H219" s="29"/>
      <c r="I219" s="29" t="s">
        <v>44</v>
      </c>
      <c r="J219" s="30">
        <v>1</v>
      </c>
      <c r="K219" s="31">
        <f>982</f>
        <v>982</v>
      </c>
      <c r="L219" s="32" t="s">
        <v>675</v>
      </c>
      <c r="M219" s="31">
        <f>997</f>
        <v>997</v>
      </c>
      <c r="N219" s="32" t="s">
        <v>681</v>
      </c>
      <c r="O219" s="31">
        <f>964</f>
        <v>964</v>
      </c>
      <c r="P219" s="32" t="s">
        <v>874</v>
      </c>
      <c r="Q219" s="31">
        <f>984</f>
        <v>984</v>
      </c>
      <c r="R219" s="32" t="s">
        <v>681</v>
      </c>
      <c r="S219" s="33">
        <f>979.21</f>
        <v>979.21</v>
      </c>
      <c r="T219" s="30">
        <f>66748</f>
        <v>66748</v>
      </c>
      <c r="U219" s="30" t="str">
        <f t="shared" ref="U219:U224" si="6">"－"</f>
        <v>－</v>
      </c>
      <c r="V219" s="30">
        <f>65302910</f>
        <v>65302910</v>
      </c>
      <c r="W219" s="30" t="str">
        <f t="shared" ref="W219:W224" si="7">"－"</f>
        <v>－</v>
      </c>
      <c r="X219" s="34">
        <f>19</f>
        <v>19</v>
      </c>
    </row>
    <row r="220" spans="1:24">
      <c r="A220" s="25" t="s">
        <v>1078</v>
      </c>
      <c r="B220" s="25" t="s">
        <v>1047</v>
      </c>
      <c r="C220" s="25" t="s">
        <v>1046</v>
      </c>
      <c r="D220" s="25" t="s">
        <v>1045</v>
      </c>
      <c r="E220" s="26" t="s">
        <v>43</v>
      </c>
      <c r="F220" s="27" t="s">
        <v>43</v>
      </c>
      <c r="G220" s="28" t="s">
        <v>43</v>
      </c>
      <c r="H220" s="29"/>
      <c r="I220" s="29" t="s">
        <v>44</v>
      </c>
      <c r="J220" s="30">
        <v>1</v>
      </c>
      <c r="K220" s="31">
        <f>1105</f>
        <v>1105</v>
      </c>
      <c r="L220" s="32" t="s">
        <v>675</v>
      </c>
      <c r="M220" s="31">
        <f>1112</f>
        <v>1112</v>
      </c>
      <c r="N220" s="32" t="s">
        <v>681</v>
      </c>
      <c r="O220" s="31">
        <f>1084</f>
        <v>1084</v>
      </c>
      <c r="P220" s="32" t="s">
        <v>679</v>
      </c>
      <c r="Q220" s="31">
        <f>1111</f>
        <v>1111</v>
      </c>
      <c r="R220" s="32" t="s">
        <v>681</v>
      </c>
      <c r="S220" s="33">
        <f>1098.68</f>
        <v>1098.68</v>
      </c>
      <c r="T220" s="30">
        <f>108486</f>
        <v>108486</v>
      </c>
      <c r="U220" s="30" t="str">
        <f t="shared" si="6"/>
        <v>－</v>
      </c>
      <c r="V220" s="30">
        <f>119076404</f>
        <v>119076404</v>
      </c>
      <c r="W220" s="30" t="str">
        <f t="shared" si="7"/>
        <v>－</v>
      </c>
      <c r="X220" s="34">
        <f>19</f>
        <v>19</v>
      </c>
    </row>
    <row r="221" spans="1:24">
      <c r="A221" s="25" t="s">
        <v>1078</v>
      </c>
      <c r="B221" s="25" t="s">
        <v>1044</v>
      </c>
      <c r="C221" s="25" t="s">
        <v>1043</v>
      </c>
      <c r="D221" s="25" t="s">
        <v>1042</v>
      </c>
      <c r="E221" s="26" t="s">
        <v>43</v>
      </c>
      <c r="F221" s="27" t="s">
        <v>43</v>
      </c>
      <c r="G221" s="28" t="s">
        <v>43</v>
      </c>
      <c r="H221" s="29"/>
      <c r="I221" s="29" t="s">
        <v>44</v>
      </c>
      <c r="J221" s="30">
        <v>1</v>
      </c>
      <c r="K221" s="31">
        <f>1004</f>
        <v>1004</v>
      </c>
      <c r="L221" s="32" t="s">
        <v>675</v>
      </c>
      <c r="M221" s="31">
        <f>1023</f>
        <v>1023</v>
      </c>
      <c r="N221" s="32" t="s">
        <v>760</v>
      </c>
      <c r="O221" s="31">
        <f>991</f>
        <v>991</v>
      </c>
      <c r="P221" s="32" t="s">
        <v>679</v>
      </c>
      <c r="Q221" s="31">
        <f>999</f>
        <v>999</v>
      </c>
      <c r="R221" s="32" t="s">
        <v>681</v>
      </c>
      <c r="S221" s="33">
        <f>1006.26</f>
        <v>1006.26</v>
      </c>
      <c r="T221" s="30">
        <f>131249</f>
        <v>131249</v>
      </c>
      <c r="U221" s="30" t="str">
        <f t="shared" si="6"/>
        <v>－</v>
      </c>
      <c r="V221" s="30">
        <f>132086690</f>
        <v>132086690</v>
      </c>
      <c r="W221" s="30" t="str">
        <f t="shared" si="7"/>
        <v>－</v>
      </c>
      <c r="X221" s="34">
        <f>19</f>
        <v>19</v>
      </c>
    </row>
    <row r="222" spans="1:24">
      <c r="A222" s="25" t="s">
        <v>1078</v>
      </c>
      <c r="B222" s="25" t="s">
        <v>1041</v>
      </c>
      <c r="C222" s="25" t="s">
        <v>1040</v>
      </c>
      <c r="D222" s="25" t="s">
        <v>1039</v>
      </c>
      <c r="E222" s="26" t="s">
        <v>43</v>
      </c>
      <c r="F222" s="27" t="s">
        <v>43</v>
      </c>
      <c r="G222" s="28" t="s">
        <v>43</v>
      </c>
      <c r="H222" s="29"/>
      <c r="I222" s="29" t="s">
        <v>44</v>
      </c>
      <c r="J222" s="30">
        <v>1</v>
      </c>
      <c r="K222" s="31">
        <f>993</f>
        <v>993</v>
      </c>
      <c r="L222" s="32" t="s">
        <v>675</v>
      </c>
      <c r="M222" s="31">
        <f>1019</f>
        <v>1019</v>
      </c>
      <c r="N222" s="32" t="s">
        <v>778</v>
      </c>
      <c r="O222" s="31">
        <f>977</f>
        <v>977</v>
      </c>
      <c r="P222" s="32" t="s">
        <v>675</v>
      </c>
      <c r="Q222" s="31">
        <f>1003</f>
        <v>1003</v>
      </c>
      <c r="R222" s="32" t="s">
        <v>681</v>
      </c>
      <c r="S222" s="33">
        <f>999</f>
        <v>999</v>
      </c>
      <c r="T222" s="30">
        <f>99951</f>
        <v>99951</v>
      </c>
      <c r="U222" s="30" t="str">
        <f t="shared" si="6"/>
        <v>－</v>
      </c>
      <c r="V222" s="30">
        <f>100855792</f>
        <v>100855792</v>
      </c>
      <c r="W222" s="30" t="str">
        <f t="shared" si="7"/>
        <v>－</v>
      </c>
      <c r="X222" s="34">
        <f>19</f>
        <v>19</v>
      </c>
    </row>
    <row r="223" spans="1:24">
      <c r="A223" s="25" t="s">
        <v>1078</v>
      </c>
      <c r="B223" s="25" t="s">
        <v>1038</v>
      </c>
      <c r="C223" s="25" t="s">
        <v>1037</v>
      </c>
      <c r="D223" s="25" t="s">
        <v>1036</v>
      </c>
      <c r="E223" s="26" t="s">
        <v>43</v>
      </c>
      <c r="F223" s="27" t="s">
        <v>43</v>
      </c>
      <c r="G223" s="28" t="s">
        <v>43</v>
      </c>
      <c r="H223" s="29"/>
      <c r="I223" s="29" t="s">
        <v>44</v>
      </c>
      <c r="J223" s="30">
        <v>1</v>
      </c>
      <c r="K223" s="31">
        <f>1018</f>
        <v>1018</v>
      </c>
      <c r="L223" s="32" t="s">
        <v>675</v>
      </c>
      <c r="M223" s="31">
        <f>1045</f>
        <v>1045</v>
      </c>
      <c r="N223" s="32" t="s">
        <v>778</v>
      </c>
      <c r="O223" s="31">
        <f>1008</f>
        <v>1008</v>
      </c>
      <c r="P223" s="32" t="s">
        <v>675</v>
      </c>
      <c r="Q223" s="31">
        <f>1030</f>
        <v>1030</v>
      </c>
      <c r="R223" s="32" t="s">
        <v>681</v>
      </c>
      <c r="S223" s="33">
        <f>1025.47</f>
        <v>1025.47</v>
      </c>
      <c r="T223" s="30">
        <f>94829</f>
        <v>94829</v>
      </c>
      <c r="U223" s="30" t="str">
        <f t="shared" si="6"/>
        <v>－</v>
      </c>
      <c r="V223" s="30">
        <f>97618650</f>
        <v>97618650</v>
      </c>
      <c r="W223" s="30" t="str">
        <f t="shared" si="7"/>
        <v>－</v>
      </c>
      <c r="X223" s="34">
        <f>19</f>
        <v>19</v>
      </c>
    </row>
    <row r="224" spans="1:24">
      <c r="A224" s="25" t="s">
        <v>1078</v>
      </c>
      <c r="B224" s="25" t="s">
        <v>868</v>
      </c>
      <c r="C224" s="25" t="s">
        <v>869</v>
      </c>
      <c r="D224" s="25" t="s">
        <v>870</v>
      </c>
      <c r="E224" s="26" t="s">
        <v>43</v>
      </c>
      <c r="F224" s="27" t="s">
        <v>43</v>
      </c>
      <c r="G224" s="28" t="s">
        <v>43</v>
      </c>
      <c r="H224" s="29"/>
      <c r="I224" s="29" t="s">
        <v>44</v>
      </c>
      <c r="J224" s="30">
        <v>10</v>
      </c>
      <c r="K224" s="31">
        <f>2268</f>
        <v>2268</v>
      </c>
      <c r="L224" s="32" t="s">
        <v>675</v>
      </c>
      <c r="M224" s="31">
        <f>2467</f>
        <v>2467</v>
      </c>
      <c r="N224" s="32" t="s">
        <v>681</v>
      </c>
      <c r="O224" s="31">
        <f>2268</f>
        <v>2268</v>
      </c>
      <c r="P224" s="32" t="s">
        <v>675</v>
      </c>
      <c r="Q224" s="31">
        <f>2467</f>
        <v>2467</v>
      </c>
      <c r="R224" s="32" t="s">
        <v>681</v>
      </c>
      <c r="S224" s="33">
        <f>2402.03</f>
        <v>2402.0300000000002</v>
      </c>
      <c r="T224" s="30">
        <f>18950</f>
        <v>18950</v>
      </c>
      <c r="U224" s="30" t="str">
        <f t="shared" si="6"/>
        <v>－</v>
      </c>
      <c r="V224" s="30">
        <f>45497115</f>
        <v>45497115</v>
      </c>
      <c r="W224" s="30" t="str">
        <f t="shared" si="7"/>
        <v>－</v>
      </c>
      <c r="X224" s="34">
        <f>19</f>
        <v>19</v>
      </c>
    </row>
    <row r="225" spans="1:24">
      <c r="A225" s="25" t="s">
        <v>1078</v>
      </c>
      <c r="B225" s="25" t="s">
        <v>871</v>
      </c>
      <c r="C225" s="25" t="s">
        <v>872</v>
      </c>
      <c r="D225" s="25" t="s">
        <v>873</v>
      </c>
      <c r="E225" s="26" t="s">
        <v>43</v>
      </c>
      <c r="F225" s="27" t="s">
        <v>43</v>
      </c>
      <c r="G225" s="28" t="s">
        <v>43</v>
      </c>
      <c r="H225" s="29"/>
      <c r="I225" s="29" t="s">
        <v>44</v>
      </c>
      <c r="J225" s="30">
        <v>1</v>
      </c>
      <c r="K225" s="31">
        <f>1103</f>
        <v>1103</v>
      </c>
      <c r="L225" s="32" t="s">
        <v>675</v>
      </c>
      <c r="M225" s="31">
        <f>1155</f>
        <v>1155</v>
      </c>
      <c r="N225" s="32" t="s">
        <v>681</v>
      </c>
      <c r="O225" s="31">
        <f>1100</f>
        <v>1100</v>
      </c>
      <c r="P225" s="32" t="s">
        <v>675</v>
      </c>
      <c r="Q225" s="31">
        <f>1153</f>
        <v>1153</v>
      </c>
      <c r="R225" s="32" t="s">
        <v>681</v>
      </c>
      <c r="S225" s="33">
        <f>1129.53</f>
        <v>1129.53</v>
      </c>
      <c r="T225" s="30">
        <f>752896</f>
        <v>752896</v>
      </c>
      <c r="U225" s="30">
        <f>250</f>
        <v>250</v>
      </c>
      <c r="V225" s="30">
        <f>848242712</f>
        <v>848242712</v>
      </c>
      <c r="W225" s="30">
        <f>260192</f>
        <v>260192</v>
      </c>
      <c r="X225" s="34">
        <f>19</f>
        <v>19</v>
      </c>
    </row>
    <row r="226" spans="1:24">
      <c r="A226" s="25" t="s">
        <v>1078</v>
      </c>
      <c r="B226" s="25" t="s">
        <v>877</v>
      </c>
      <c r="C226" s="25" t="s">
        <v>878</v>
      </c>
      <c r="D226" s="25" t="s">
        <v>879</v>
      </c>
      <c r="E226" s="26" t="s">
        <v>43</v>
      </c>
      <c r="F226" s="27" t="s">
        <v>43</v>
      </c>
      <c r="G226" s="28" t="s">
        <v>43</v>
      </c>
      <c r="H226" s="29"/>
      <c r="I226" s="29" t="s">
        <v>44</v>
      </c>
      <c r="J226" s="30">
        <v>1</v>
      </c>
      <c r="K226" s="31">
        <f>61860</f>
        <v>61860</v>
      </c>
      <c r="L226" s="32" t="s">
        <v>675</v>
      </c>
      <c r="M226" s="31">
        <f>67360</f>
        <v>67360</v>
      </c>
      <c r="N226" s="32" t="s">
        <v>777</v>
      </c>
      <c r="O226" s="31">
        <f>61420</f>
        <v>61420</v>
      </c>
      <c r="P226" s="32" t="s">
        <v>674</v>
      </c>
      <c r="Q226" s="31">
        <f>66640</f>
        <v>66640</v>
      </c>
      <c r="R226" s="32" t="s">
        <v>681</v>
      </c>
      <c r="S226" s="33">
        <f>64312.63</f>
        <v>64312.63</v>
      </c>
      <c r="T226" s="30">
        <f>36353</f>
        <v>36353</v>
      </c>
      <c r="U226" s="30" t="str">
        <f>"－"</f>
        <v>－</v>
      </c>
      <c r="V226" s="30">
        <f>2353860980</f>
        <v>2353860980</v>
      </c>
      <c r="W226" s="30" t="str">
        <f>"－"</f>
        <v>－</v>
      </c>
      <c r="X226" s="34">
        <f>19</f>
        <v>19</v>
      </c>
    </row>
    <row r="227" spans="1:24">
      <c r="A227" s="25" t="s">
        <v>1078</v>
      </c>
      <c r="B227" s="25" t="s">
        <v>880</v>
      </c>
      <c r="C227" s="25" t="s">
        <v>881</v>
      </c>
      <c r="D227" s="25" t="s">
        <v>882</v>
      </c>
      <c r="E227" s="26" t="s">
        <v>43</v>
      </c>
      <c r="F227" s="27" t="s">
        <v>43</v>
      </c>
      <c r="G227" s="28" t="s">
        <v>43</v>
      </c>
      <c r="H227" s="29"/>
      <c r="I227" s="29" t="s">
        <v>44</v>
      </c>
      <c r="J227" s="30">
        <v>1</v>
      </c>
      <c r="K227" s="31">
        <f>8385</f>
        <v>8385</v>
      </c>
      <c r="L227" s="32" t="s">
        <v>675</v>
      </c>
      <c r="M227" s="31">
        <f>8462</f>
        <v>8462</v>
      </c>
      <c r="N227" s="32" t="s">
        <v>675</v>
      </c>
      <c r="O227" s="31">
        <f>8020</f>
        <v>8020</v>
      </c>
      <c r="P227" s="32" t="s">
        <v>777</v>
      </c>
      <c r="Q227" s="31">
        <f>8060</f>
        <v>8060</v>
      </c>
      <c r="R227" s="32" t="s">
        <v>681</v>
      </c>
      <c r="S227" s="33">
        <f>8226.89</f>
        <v>8226.89</v>
      </c>
      <c r="T227" s="30">
        <f>732847</f>
        <v>732847</v>
      </c>
      <c r="U227" s="30">
        <f>684310</f>
        <v>684310</v>
      </c>
      <c r="V227" s="30">
        <f>6034675814</f>
        <v>6034675814</v>
      </c>
      <c r="W227" s="30">
        <f>5634555510</f>
        <v>5634555510</v>
      </c>
      <c r="X227" s="34">
        <f>19</f>
        <v>19</v>
      </c>
    </row>
    <row r="228" spans="1:24">
      <c r="A228" s="25" t="s">
        <v>1078</v>
      </c>
      <c r="B228" s="25" t="s">
        <v>884</v>
      </c>
      <c r="C228" s="25" t="s">
        <v>885</v>
      </c>
      <c r="D228" s="25" t="s">
        <v>886</v>
      </c>
      <c r="E228" s="26" t="s">
        <v>43</v>
      </c>
      <c r="F228" s="27" t="s">
        <v>43</v>
      </c>
      <c r="G228" s="28" t="s">
        <v>43</v>
      </c>
      <c r="H228" s="29"/>
      <c r="I228" s="29" t="s">
        <v>44</v>
      </c>
      <c r="J228" s="30">
        <v>10</v>
      </c>
      <c r="K228" s="31">
        <f>13270</f>
        <v>13270</v>
      </c>
      <c r="L228" s="32" t="s">
        <v>675</v>
      </c>
      <c r="M228" s="31">
        <f>14505</f>
        <v>14505</v>
      </c>
      <c r="N228" s="32" t="s">
        <v>777</v>
      </c>
      <c r="O228" s="31">
        <f>13185</f>
        <v>13185</v>
      </c>
      <c r="P228" s="32" t="s">
        <v>674</v>
      </c>
      <c r="Q228" s="31">
        <f>14315</f>
        <v>14315</v>
      </c>
      <c r="R228" s="32" t="s">
        <v>681</v>
      </c>
      <c r="S228" s="33">
        <f>13798.68</f>
        <v>13798.68</v>
      </c>
      <c r="T228" s="30">
        <f>40210</f>
        <v>40210</v>
      </c>
      <c r="U228" s="30">
        <f>190</f>
        <v>190</v>
      </c>
      <c r="V228" s="30">
        <f>553908600</f>
        <v>553908600</v>
      </c>
      <c r="W228" s="30">
        <f>2526950</f>
        <v>2526950</v>
      </c>
      <c r="X228" s="34">
        <f>19</f>
        <v>19</v>
      </c>
    </row>
    <row r="229" spans="1:24">
      <c r="A229" s="25" t="s">
        <v>1078</v>
      </c>
      <c r="B229" s="25" t="s">
        <v>887</v>
      </c>
      <c r="C229" s="25" t="s">
        <v>888</v>
      </c>
      <c r="D229" s="25" t="s">
        <v>889</v>
      </c>
      <c r="E229" s="26" t="s">
        <v>43</v>
      </c>
      <c r="F229" s="27" t="s">
        <v>43</v>
      </c>
      <c r="G229" s="28" t="s">
        <v>43</v>
      </c>
      <c r="H229" s="29"/>
      <c r="I229" s="29" t="s">
        <v>44</v>
      </c>
      <c r="J229" s="30">
        <v>10</v>
      </c>
      <c r="K229" s="31">
        <f>8520</f>
        <v>8520</v>
      </c>
      <c r="L229" s="32" t="s">
        <v>675</v>
      </c>
      <c r="M229" s="31">
        <f>8520</f>
        <v>8520</v>
      </c>
      <c r="N229" s="32" t="s">
        <v>675</v>
      </c>
      <c r="O229" s="31">
        <f>8071</f>
        <v>8071</v>
      </c>
      <c r="P229" s="32" t="s">
        <v>777</v>
      </c>
      <c r="Q229" s="31">
        <f>8112</f>
        <v>8112</v>
      </c>
      <c r="R229" s="32" t="s">
        <v>681</v>
      </c>
      <c r="S229" s="33">
        <f>8268.58</f>
        <v>8268.58</v>
      </c>
      <c r="T229" s="30">
        <f>366460</f>
        <v>366460</v>
      </c>
      <c r="U229" s="30">
        <f>355000</f>
        <v>355000</v>
      </c>
      <c r="V229" s="30">
        <f>3079978656</f>
        <v>3079978656</v>
      </c>
      <c r="W229" s="30">
        <f>2983866626</f>
        <v>2983866626</v>
      </c>
      <c r="X229" s="34">
        <f>19</f>
        <v>19</v>
      </c>
    </row>
    <row r="230" spans="1:24">
      <c r="A230" s="25" t="s">
        <v>1078</v>
      </c>
      <c r="B230" s="25" t="s">
        <v>890</v>
      </c>
      <c r="C230" s="25" t="s">
        <v>891</v>
      </c>
      <c r="D230" s="25" t="s">
        <v>892</v>
      </c>
      <c r="E230" s="26" t="s">
        <v>43</v>
      </c>
      <c r="F230" s="27" t="s">
        <v>43</v>
      </c>
      <c r="G230" s="28" t="s">
        <v>43</v>
      </c>
      <c r="H230" s="29"/>
      <c r="I230" s="29" t="s">
        <v>44</v>
      </c>
      <c r="J230" s="30">
        <v>10</v>
      </c>
      <c r="K230" s="31">
        <f>597.3</f>
        <v>597.29999999999995</v>
      </c>
      <c r="L230" s="32" t="s">
        <v>675</v>
      </c>
      <c r="M230" s="31">
        <f>634.5</f>
        <v>634.5</v>
      </c>
      <c r="N230" s="32" t="s">
        <v>681</v>
      </c>
      <c r="O230" s="31">
        <f>596.2</f>
        <v>596.20000000000005</v>
      </c>
      <c r="P230" s="32" t="s">
        <v>675</v>
      </c>
      <c r="Q230" s="31">
        <f>633.8</f>
        <v>633.79999999999995</v>
      </c>
      <c r="R230" s="32" t="s">
        <v>681</v>
      </c>
      <c r="S230" s="33">
        <f>616.66</f>
        <v>616.66</v>
      </c>
      <c r="T230" s="30">
        <f>1376720</f>
        <v>1376720</v>
      </c>
      <c r="U230" s="30" t="str">
        <f>"－"</f>
        <v>－</v>
      </c>
      <c r="V230" s="30">
        <f>866717234</f>
        <v>866717234</v>
      </c>
      <c r="W230" s="30" t="str">
        <f>"－"</f>
        <v>－</v>
      </c>
      <c r="X230" s="34">
        <f>19</f>
        <v>19</v>
      </c>
    </row>
    <row r="231" spans="1:24">
      <c r="A231" s="25" t="s">
        <v>1078</v>
      </c>
      <c r="B231" s="25" t="s">
        <v>893</v>
      </c>
      <c r="C231" s="25" t="s">
        <v>894</v>
      </c>
      <c r="D231" s="25" t="s">
        <v>895</v>
      </c>
      <c r="E231" s="26" t="s">
        <v>43</v>
      </c>
      <c r="F231" s="27" t="s">
        <v>43</v>
      </c>
      <c r="G231" s="28" t="s">
        <v>43</v>
      </c>
      <c r="H231" s="29"/>
      <c r="I231" s="29" t="s">
        <v>44</v>
      </c>
      <c r="J231" s="30">
        <v>10</v>
      </c>
      <c r="K231" s="31">
        <f>545.7</f>
        <v>545.70000000000005</v>
      </c>
      <c r="L231" s="32" t="s">
        <v>675</v>
      </c>
      <c r="M231" s="31">
        <f>554.8</f>
        <v>554.79999999999995</v>
      </c>
      <c r="N231" s="32" t="s">
        <v>681</v>
      </c>
      <c r="O231" s="31">
        <f>537.1</f>
        <v>537.1</v>
      </c>
      <c r="P231" s="32" t="s">
        <v>678</v>
      </c>
      <c r="Q231" s="31">
        <f>554.3</f>
        <v>554.29999999999995</v>
      </c>
      <c r="R231" s="32" t="s">
        <v>681</v>
      </c>
      <c r="S231" s="33">
        <f>544.56</f>
        <v>544.55999999999995</v>
      </c>
      <c r="T231" s="30">
        <f>811130</f>
        <v>811130</v>
      </c>
      <c r="U231" s="30">
        <f>731000</f>
        <v>731000</v>
      </c>
      <c r="V231" s="30">
        <f>443674410</f>
        <v>443674410</v>
      </c>
      <c r="W231" s="30">
        <f>399988872</f>
        <v>399988872</v>
      </c>
      <c r="X231" s="34">
        <f>19</f>
        <v>19</v>
      </c>
    </row>
    <row r="232" spans="1:24">
      <c r="A232" s="25" t="s">
        <v>1078</v>
      </c>
      <c r="B232" s="25" t="s">
        <v>934</v>
      </c>
      <c r="C232" s="25" t="s">
        <v>935</v>
      </c>
      <c r="D232" s="25" t="s">
        <v>936</v>
      </c>
      <c r="E232" s="26" t="s">
        <v>43</v>
      </c>
      <c r="F232" s="27" t="s">
        <v>43</v>
      </c>
      <c r="G232" s="28" t="s">
        <v>43</v>
      </c>
      <c r="H232" s="29"/>
      <c r="I232" s="29" t="s">
        <v>44</v>
      </c>
      <c r="J232" s="30">
        <v>1</v>
      </c>
      <c r="K232" s="31">
        <f>1354</f>
        <v>1354</v>
      </c>
      <c r="L232" s="32" t="s">
        <v>675</v>
      </c>
      <c r="M232" s="31">
        <f>1596</f>
        <v>1596</v>
      </c>
      <c r="N232" s="32" t="s">
        <v>679</v>
      </c>
      <c r="O232" s="31">
        <f>1348</f>
        <v>1348</v>
      </c>
      <c r="P232" s="32" t="s">
        <v>675</v>
      </c>
      <c r="Q232" s="31">
        <f>1513</f>
        <v>1513</v>
      </c>
      <c r="R232" s="32" t="s">
        <v>681</v>
      </c>
      <c r="S232" s="33">
        <f>1473.05</f>
        <v>1473.05</v>
      </c>
      <c r="T232" s="30">
        <f>6783849</f>
        <v>6783849</v>
      </c>
      <c r="U232" s="30">
        <f>2335128</f>
        <v>2335128</v>
      </c>
      <c r="V232" s="30">
        <f>10139599065</f>
        <v>10139599065</v>
      </c>
      <c r="W232" s="30">
        <f>3516107054</f>
        <v>3516107054</v>
      </c>
      <c r="X232" s="34">
        <f>19</f>
        <v>19</v>
      </c>
    </row>
    <row r="233" spans="1:24">
      <c r="A233" s="25" t="s">
        <v>1078</v>
      </c>
      <c r="B233" s="25" t="s">
        <v>937</v>
      </c>
      <c r="C233" s="25" t="s">
        <v>938</v>
      </c>
      <c r="D233" s="25" t="s">
        <v>939</v>
      </c>
      <c r="E233" s="26" t="s">
        <v>43</v>
      </c>
      <c r="F233" s="27" t="s">
        <v>43</v>
      </c>
      <c r="G233" s="28" t="s">
        <v>43</v>
      </c>
      <c r="H233" s="29"/>
      <c r="I233" s="29" t="s">
        <v>44</v>
      </c>
      <c r="J233" s="30">
        <v>1</v>
      </c>
      <c r="K233" s="31">
        <f>1546</f>
        <v>1546</v>
      </c>
      <c r="L233" s="32" t="s">
        <v>675</v>
      </c>
      <c r="M233" s="31">
        <f>1730</f>
        <v>1730</v>
      </c>
      <c r="N233" s="32" t="s">
        <v>679</v>
      </c>
      <c r="O233" s="31">
        <f>1521</f>
        <v>1521</v>
      </c>
      <c r="P233" s="32" t="s">
        <v>675</v>
      </c>
      <c r="Q233" s="31">
        <f>1679</f>
        <v>1679</v>
      </c>
      <c r="R233" s="32" t="s">
        <v>681</v>
      </c>
      <c r="S233" s="33">
        <f>1648.11</f>
        <v>1648.11</v>
      </c>
      <c r="T233" s="30">
        <f>5021973</f>
        <v>5021973</v>
      </c>
      <c r="U233" s="30">
        <f>291094</f>
        <v>291094</v>
      </c>
      <c r="V233" s="30">
        <f>8351531680</f>
        <v>8351531680</v>
      </c>
      <c r="W233" s="30">
        <f>500760378</f>
        <v>500760378</v>
      </c>
      <c r="X233" s="34">
        <f>19</f>
        <v>19</v>
      </c>
    </row>
    <row r="234" spans="1:24">
      <c r="A234" s="25" t="s">
        <v>1078</v>
      </c>
      <c r="B234" s="25" t="s">
        <v>940</v>
      </c>
      <c r="C234" s="25" t="s">
        <v>941</v>
      </c>
      <c r="D234" s="25" t="s">
        <v>942</v>
      </c>
      <c r="E234" s="26" t="s">
        <v>43</v>
      </c>
      <c r="F234" s="27" t="s">
        <v>43</v>
      </c>
      <c r="G234" s="28" t="s">
        <v>43</v>
      </c>
      <c r="H234" s="29"/>
      <c r="I234" s="29" t="s">
        <v>44</v>
      </c>
      <c r="J234" s="30">
        <v>10</v>
      </c>
      <c r="K234" s="31">
        <f>819</f>
        <v>819</v>
      </c>
      <c r="L234" s="32" t="s">
        <v>675</v>
      </c>
      <c r="M234" s="31">
        <f>819.4</f>
        <v>819.4</v>
      </c>
      <c r="N234" s="32" t="s">
        <v>676</v>
      </c>
      <c r="O234" s="31">
        <f>789.4</f>
        <v>789.4</v>
      </c>
      <c r="P234" s="32" t="s">
        <v>679</v>
      </c>
      <c r="Q234" s="31">
        <f>794.7</f>
        <v>794.7</v>
      </c>
      <c r="R234" s="32" t="s">
        <v>883</v>
      </c>
      <c r="S234" s="33">
        <f>797.32</f>
        <v>797.32</v>
      </c>
      <c r="T234" s="30">
        <f>146380</f>
        <v>146380</v>
      </c>
      <c r="U234" s="30" t="str">
        <f>"－"</f>
        <v>－</v>
      </c>
      <c r="V234" s="30">
        <f>117108297</f>
        <v>117108297</v>
      </c>
      <c r="W234" s="30" t="str">
        <f>"－"</f>
        <v>－</v>
      </c>
      <c r="X234" s="34">
        <f>15</f>
        <v>15</v>
      </c>
    </row>
    <row r="235" spans="1:24">
      <c r="A235" s="25" t="s">
        <v>1078</v>
      </c>
      <c r="B235" s="25" t="s">
        <v>943</v>
      </c>
      <c r="C235" s="25" t="s">
        <v>944</v>
      </c>
      <c r="D235" s="25" t="s">
        <v>945</v>
      </c>
      <c r="E235" s="26" t="s">
        <v>43</v>
      </c>
      <c r="F235" s="27" t="s">
        <v>43</v>
      </c>
      <c r="G235" s="28" t="s">
        <v>43</v>
      </c>
      <c r="H235" s="29"/>
      <c r="I235" s="29" t="s">
        <v>44</v>
      </c>
      <c r="J235" s="30">
        <v>10</v>
      </c>
      <c r="K235" s="31">
        <f>824</f>
        <v>824</v>
      </c>
      <c r="L235" s="32" t="s">
        <v>675</v>
      </c>
      <c r="M235" s="31">
        <f>846.9</f>
        <v>846.9</v>
      </c>
      <c r="N235" s="32" t="s">
        <v>676</v>
      </c>
      <c r="O235" s="31">
        <f>791.8</f>
        <v>791.8</v>
      </c>
      <c r="P235" s="32" t="s">
        <v>679</v>
      </c>
      <c r="Q235" s="31">
        <f>803</f>
        <v>803</v>
      </c>
      <c r="R235" s="32" t="s">
        <v>681</v>
      </c>
      <c r="S235" s="33">
        <f>801.81</f>
        <v>801.81</v>
      </c>
      <c r="T235" s="30">
        <f>2610</f>
        <v>2610</v>
      </c>
      <c r="U235" s="30" t="str">
        <f>"－"</f>
        <v>－</v>
      </c>
      <c r="V235" s="30">
        <f>2097294</f>
        <v>2097294</v>
      </c>
      <c r="W235" s="30" t="str">
        <f>"－"</f>
        <v>－</v>
      </c>
      <c r="X235" s="34">
        <f>10</f>
        <v>10</v>
      </c>
    </row>
    <row r="236" spans="1:24">
      <c r="A236" s="25" t="s">
        <v>1078</v>
      </c>
      <c r="B236" s="25" t="s">
        <v>952</v>
      </c>
      <c r="C236" s="25" t="s">
        <v>953</v>
      </c>
      <c r="D236" s="25" t="s">
        <v>954</v>
      </c>
      <c r="E236" s="26" t="s">
        <v>43</v>
      </c>
      <c r="F236" s="27" t="s">
        <v>43</v>
      </c>
      <c r="G236" s="28" t="s">
        <v>43</v>
      </c>
      <c r="H236" s="29"/>
      <c r="I236" s="29" t="s">
        <v>44</v>
      </c>
      <c r="J236" s="30">
        <v>1</v>
      </c>
      <c r="K236" s="31">
        <f>12635</f>
        <v>12635</v>
      </c>
      <c r="L236" s="32" t="s">
        <v>675</v>
      </c>
      <c r="M236" s="31">
        <f>13635</f>
        <v>13635</v>
      </c>
      <c r="N236" s="32" t="s">
        <v>777</v>
      </c>
      <c r="O236" s="31">
        <f>12615</f>
        <v>12615</v>
      </c>
      <c r="P236" s="32" t="s">
        <v>675</v>
      </c>
      <c r="Q236" s="31">
        <f>13595</f>
        <v>13595</v>
      </c>
      <c r="R236" s="32" t="s">
        <v>681</v>
      </c>
      <c r="S236" s="33">
        <f>13224.47</f>
        <v>13224.47</v>
      </c>
      <c r="T236" s="30">
        <f>170443</f>
        <v>170443</v>
      </c>
      <c r="U236" s="30">
        <f>1</f>
        <v>1</v>
      </c>
      <c r="V236" s="30">
        <f>2268053125</f>
        <v>2268053125</v>
      </c>
      <c r="W236" s="30">
        <f>13055</f>
        <v>13055</v>
      </c>
      <c r="X236" s="34">
        <f>19</f>
        <v>19</v>
      </c>
    </row>
    <row r="237" spans="1:24">
      <c r="A237" s="25" t="s">
        <v>1078</v>
      </c>
      <c r="B237" s="25" t="s">
        <v>955</v>
      </c>
      <c r="C237" s="25" t="s">
        <v>956</v>
      </c>
      <c r="D237" s="25" t="s">
        <v>957</v>
      </c>
      <c r="E237" s="26" t="s">
        <v>43</v>
      </c>
      <c r="F237" s="27" t="s">
        <v>43</v>
      </c>
      <c r="G237" s="28" t="s">
        <v>43</v>
      </c>
      <c r="H237" s="29"/>
      <c r="I237" s="29" t="s">
        <v>44</v>
      </c>
      <c r="J237" s="30">
        <v>1</v>
      </c>
      <c r="K237" s="31">
        <f>38000</f>
        <v>38000</v>
      </c>
      <c r="L237" s="32" t="s">
        <v>675</v>
      </c>
      <c r="M237" s="31">
        <f>39650</f>
        <v>39650</v>
      </c>
      <c r="N237" s="32" t="s">
        <v>777</v>
      </c>
      <c r="O237" s="31">
        <f>37800</f>
        <v>37800</v>
      </c>
      <c r="P237" s="32" t="s">
        <v>674</v>
      </c>
      <c r="Q237" s="31">
        <f>39430</f>
        <v>39430</v>
      </c>
      <c r="R237" s="32" t="s">
        <v>681</v>
      </c>
      <c r="S237" s="33">
        <f>38665.56</f>
        <v>38665.56</v>
      </c>
      <c r="T237" s="30">
        <f>88393</f>
        <v>88393</v>
      </c>
      <c r="U237" s="30">
        <f>79583</f>
        <v>79583</v>
      </c>
      <c r="V237" s="30">
        <f>3420652894</f>
        <v>3420652894</v>
      </c>
      <c r="W237" s="30">
        <f>3083284104</f>
        <v>3083284104</v>
      </c>
      <c r="X237" s="34">
        <f>18</f>
        <v>18</v>
      </c>
    </row>
    <row r="238" spans="1:24">
      <c r="A238" s="25" t="s">
        <v>1078</v>
      </c>
      <c r="B238" s="25" t="s">
        <v>958</v>
      </c>
      <c r="C238" s="25" t="s">
        <v>959</v>
      </c>
      <c r="D238" s="25" t="s">
        <v>960</v>
      </c>
      <c r="E238" s="26" t="s">
        <v>43</v>
      </c>
      <c r="F238" s="27" t="s">
        <v>43</v>
      </c>
      <c r="G238" s="28" t="s">
        <v>43</v>
      </c>
      <c r="H238" s="29"/>
      <c r="I238" s="29" t="s">
        <v>44</v>
      </c>
      <c r="J238" s="30">
        <v>1</v>
      </c>
      <c r="K238" s="31">
        <f>25900</f>
        <v>25900</v>
      </c>
      <c r="L238" s="32" t="s">
        <v>675</v>
      </c>
      <c r="M238" s="31">
        <f>26100</f>
        <v>26100</v>
      </c>
      <c r="N238" s="32" t="s">
        <v>674</v>
      </c>
      <c r="O238" s="31">
        <f>23700</f>
        <v>23700</v>
      </c>
      <c r="P238" s="32" t="s">
        <v>777</v>
      </c>
      <c r="Q238" s="31">
        <f>23945</f>
        <v>23945</v>
      </c>
      <c r="R238" s="32" t="s">
        <v>681</v>
      </c>
      <c r="S238" s="33">
        <f>24911.32</f>
        <v>24911.32</v>
      </c>
      <c r="T238" s="30">
        <f>18266</f>
        <v>18266</v>
      </c>
      <c r="U238" s="30" t="str">
        <f>"－"</f>
        <v>－</v>
      </c>
      <c r="V238" s="30">
        <f>455547785</f>
        <v>455547785</v>
      </c>
      <c r="W238" s="30" t="str">
        <f>"－"</f>
        <v>－</v>
      </c>
      <c r="X238" s="34">
        <f>19</f>
        <v>19</v>
      </c>
    </row>
    <row r="239" spans="1:24">
      <c r="A239" s="25" t="s">
        <v>1078</v>
      </c>
      <c r="B239" s="25" t="s">
        <v>961</v>
      </c>
      <c r="C239" s="25" t="s">
        <v>962</v>
      </c>
      <c r="D239" s="25" t="s">
        <v>963</v>
      </c>
      <c r="E239" s="26" t="s">
        <v>43</v>
      </c>
      <c r="F239" s="27" t="s">
        <v>43</v>
      </c>
      <c r="G239" s="28" t="s">
        <v>43</v>
      </c>
      <c r="H239" s="29"/>
      <c r="I239" s="29" t="s">
        <v>44</v>
      </c>
      <c r="J239" s="30">
        <v>10</v>
      </c>
      <c r="K239" s="31">
        <f>210.6</f>
        <v>210.6</v>
      </c>
      <c r="L239" s="32" t="s">
        <v>675</v>
      </c>
      <c r="M239" s="31">
        <f>261.3</f>
        <v>261.3</v>
      </c>
      <c r="N239" s="32" t="s">
        <v>876</v>
      </c>
      <c r="O239" s="31">
        <f>208</f>
        <v>208</v>
      </c>
      <c r="P239" s="32" t="s">
        <v>675</v>
      </c>
      <c r="Q239" s="31">
        <f>224.8</f>
        <v>224.8</v>
      </c>
      <c r="R239" s="32" t="s">
        <v>681</v>
      </c>
      <c r="S239" s="33">
        <f>220.92</f>
        <v>220.92</v>
      </c>
      <c r="T239" s="30">
        <f>118060</f>
        <v>118060</v>
      </c>
      <c r="U239" s="30" t="str">
        <f>"－"</f>
        <v>－</v>
      </c>
      <c r="V239" s="30">
        <f>26411482</f>
        <v>26411482</v>
      </c>
      <c r="W239" s="30" t="str">
        <f>"－"</f>
        <v>－</v>
      </c>
      <c r="X239" s="34">
        <f>19</f>
        <v>19</v>
      </c>
    </row>
    <row r="240" spans="1:24">
      <c r="A240" s="25" t="s">
        <v>1078</v>
      </c>
      <c r="B240" s="25" t="s">
        <v>964</v>
      </c>
      <c r="C240" s="25" t="s">
        <v>965</v>
      </c>
      <c r="D240" s="25" t="s">
        <v>966</v>
      </c>
      <c r="E240" s="26" t="s">
        <v>43</v>
      </c>
      <c r="F240" s="27" t="s">
        <v>43</v>
      </c>
      <c r="G240" s="28" t="s">
        <v>43</v>
      </c>
      <c r="H240" s="29"/>
      <c r="I240" s="29" t="s">
        <v>44</v>
      </c>
      <c r="J240" s="30">
        <v>10</v>
      </c>
      <c r="K240" s="31">
        <f>750</f>
        <v>750</v>
      </c>
      <c r="L240" s="32" t="s">
        <v>675</v>
      </c>
      <c r="M240" s="31">
        <f>757.1</f>
        <v>757.1</v>
      </c>
      <c r="N240" s="32" t="s">
        <v>679</v>
      </c>
      <c r="O240" s="31">
        <f>738.9</f>
        <v>738.9</v>
      </c>
      <c r="P240" s="32" t="s">
        <v>875</v>
      </c>
      <c r="Q240" s="31">
        <f>753.5</f>
        <v>753.5</v>
      </c>
      <c r="R240" s="32" t="s">
        <v>681</v>
      </c>
      <c r="S240" s="33">
        <f>748.06</f>
        <v>748.06</v>
      </c>
      <c r="T240" s="30">
        <f>1404820</f>
        <v>1404820</v>
      </c>
      <c r="U240" s="30">
        <f>806100</f>
        <v>806100</v>
      </c>
      <c r="V240" s="30">
        <f>1052036628</f>
        <v>1052036628</v>
      </c>
      <c r="W240" s="30">
        <f>604412320</f>
        <v>604412320</v>
      </c>
      <c r="X240" s="34">
        <f>19</f>
        <v>19</v>
      </c>
    </row>
    <row r="241" spans="1:24">
      <c r="A241" s="25" t="s">
        <v>1078</v>
      </c>
      <c r="B241" s="25" t="s">
        <v>982</v>
      </c>
      <c r="C241" s="25" t="s">
        <v>983</v>
      </c>
      <c r="D241" s="25" t="s">
        <v>984</v>
      </c>
      <c r="E241" s="26" t="s">
        <v>43</v>
      </c>
      <c r="F241" s="27" t="s">
        <v>43</v>
      </c>
      <c r="G241" s="28" t="s">
        <v>43</v>
      </c>
      <c r="H241" s="29"/>
      <c r="I241" s="29" t="s">
        <v>44</v>
      </c>
      <c r="J241" s="30">
        <v>1</v>
      </c>
      <c r="K241" s="31">
        <f>1021</f>
        <v>1021</v>
      </c>
      <c r="L241" s="32" t="s">
        <v>675</v>
      </c>
      <c r="M241" s="31">
        <f>1079</f>
        <v>1079</v>
      </c>
      <c r="N241" s="32" t="s">
        <v>681</v>
      </c>
      <c r="O241" s="31">
        <f>1018</f>
        <v>1018</v>
      </c>
      <c r="P241" s="32" t="s">
        <v>675</v>
      </c>
      <c r="Q241" s="31">
        <f>1073</f>
        <v>1073</v>
      </c>
      <c r="R241" s="32" t="s">
        <v>681</v>
      </c>
      <c r="S241" s="33">
        <f>1052.21</f>
        <v>1052.21</v>
      </c>
      <c r="T241" s="30">
        <f>236076</f>
        <v>236076</v>
      </c>
      <c r="U241" s="30" t="str">
        <f>"－"</f>
        <v>－</v>
      </c>
      <c r="V241" s="30">
        <f>247770733</f>
        <v>247770733</v>
      </c>
      <c r="W241" s="30" t="str">
        <f>"－"</f>
        <v>－</v>
      </c>
      <c r="X241" s="34">
        <f>19</f>
        <v>19</v>
      </c>
    </row>
    <row r="242" spans="1:24">
      <c r="A242" s="25" t="s">
        <v>1078</v>
      </c>
      <c r="B242" s="25" t="s">
        <v>985</v>
      </c>
      <c r="C242" s="25" t="s">
        <v>986</v>
      </c>
      <c r="D242" s="25" t="s">
        <v>987</v>
      </c>
      <c r="E242" s="26" t="s">
        <v>43</v>
      </c>
      <c r="F242" s="27" t="s">
        <v>43</v>
      </c>
      <c r="G242" s="28" t="s">
        <v>43</v>
      </c>
      <c r="H242" s="29"/>
      <c r="I242" s="29" t="s">
        <v>44</v>
      </c>
      <c r="J242" s="30">
        <v>1</v>
      </c>
      <c r="K242" s="31">
        <f>1052</f>
        <v>1052</v>
      </c>
      <c r="L242" s="32" t="s">
        <v>675</v>
      </c>
      <c r="M242" s="31">
        <f>1098</f>
        <v>1098</v>
      </c>
      <c r="N242" s="32" t="s">
        <v>777</v>
      </c>
      <c r="O242" s="31">
        <f>1048</f>
        <v>1048</v>
      </c>
      <c r="P242" s="32" t="s">
        <v>675</v>
      </c>
      <c r="Q242" s="31">
        <f>1093</f>
        <v>1093</v>
      </c>
      <c r="R242" s="32" t="s">
        <v>681</v>
      </c>
      <c r="S242" s="33">
        <f>1074.95</f>
        <v>1074.95</v>
      </c>
      <c r="T242" s="30">
        <f>197581</f>
        <v>197581</v>
      </c>
      <c r="U242" s="30" t="str">
        <f>"－"</f>
        <v>－</v>
      </c>
      <c r="V242" s="30">
        <f>212072810</f>
        <v>212072810</v>
      </c>
      <c r="W242" s="30" t="str">
        <f>"－"</f>
        <v>－</v>
      </c>
      <c r="X242" s="34">
        <f>19</f>
        <v>19</v>
      </c>
    </row>
    <row r="243" spans="1:24">
      <c r="A243" s="25" t="s">
        <v>1078</v>
      </c>
      <c r="B243" s="25" t="s">
        <v>988</v>
      </c>
      <c r="C243" s="25" t="s">
        <v>989</v>
      </c>
      <c r="D243" s="25" t="s">
        <v>990</v>
      </c>
      <c r="E243" s="26" t="s">
        <v>43</v>
      </c>
      <c r="F243" s="27" t="s">
        <v>43</v>
      </c>
      <c r="G243" s="28" t="s">
        <v>43</v>
      </c>
      <c r="H243" s="29"/>
      <c r="I243" s="29" t="s">
        <v>44</v>
      </c>
      <c r="J243" s="30">
        <v>1</v>
      </c>
      <c r="K243" s="31">
        <f>781</f>
        <v>781</v>
      </c>
      <c r="L243" s="32" t="s">
        <v>675</v>
      </c>
      <c r="M243" s="31">
        <f>781</f>
        <v>781</v>
      </c>
      <c r="N243" s="32" t="s">
        <v>675</v>
      </c>
      <c r="O243" s="31">
        <f>668</f>
        <v>668</v>
      </c>
      <c r="P243" s="32" t="s">
        <v>681</v>
      </c>
      <c r="Q243" s="31">
        <f>677</f>
        <v>677</v>
      </c>
      <c r="R243" s="32" t="s">
        <v>681</v>
      </c>
      <c r="S243" s="33">
        <f>734.26</f>
        <v>734.26</v>
      </c>
      <c r="T243" s="30">
        <f>913311</f>
        <v>913311</v>
      </c>
      <c r="U243" s="30">
        <f>1</f>
        <v>1</v>
      </c>
      <c r="V243" s="30">
        <f>669783056</f>
        <v>669783056</v>
      </c>
      <c r="W243" s="30">
        <f>668</f>
        <v>668</v>
      </c>
      <c r="X243" s="34">
        <f>19</f>
        <v>19</v>
      </c>
    </row>
    <row r="244" spans="1:24">
      <c r="A244" s="25" t="s">
        <v>1078</v>
      </c>
      <c r="B244" s="25" t="s">
        <v>1059</v>
      </c>
      <c r="C244" s="25" t="s">
        <v>1060</v>
      </c>
      <c r="D244" s="25" t="s">
        <v>1061</v>
      </c>
      <c r="E244" s="26" t="s">
        <v>43</v>
      </c>
      <c r="F244" s="27" t="s">
        <v>43</v>
      </c>
      <c r="G244" s="28" t="s">
        <v>43</v>
      </c>
      <c r="H244" s="29"/>
      <c r="I244" s="29" t="s">
        <v>44</v>
      </c>
      <c r="J244" s="30">
        <v>10</v>
      </c>
      <c r="K244" s="31">
        <f>212.1</f>
        <v>212.1</v>
      </c>
      <c r="L244" s="32" t="s">
        <v>675</v>
      </c>
      <c r="M244" s="31">
        <f>213.1</f>
        <v>213.1</v>
      </c>
      <c r="N244" s="32" t="s">
        <v>681</v>
      </c>
      <c r="O244" s="31">
        <f>206</f>
        <v>206</v>
      </c>
      <c r="P244" s="32" t="s">
        <v>679</v>
      </c>
      <c r="Q244" s="31">
        <f>213</f>
        <v>213</v>
      </c>
      <c r="R244" s="32" t="s">
        <v>681</v>
      </c>
      <c r="S244" s="33">
        <f>209.89</f>
        <v>209.89</v>
      </c>
      <c r="T244" s="30">
        <f>17389760</f>
        <v>17389760</v>
      </c>
      <c r="U244" s="30">
        <f>11400</f>
        <v>11400</v>
      </c>
      <c r="V244" s="30">
        <f>3648350195</f>
        <v>3648350195</v>
      </c>
      <c r="W244" s="30">
        <f>2384142</f>
        <v>2384142</v>
      </c>
      <c r="X244" s="34">
        <f>19</f>
        <v>19</v>
      </c>
    </row>
    <row r="245" spans="1:24">
      <c r="A245" s="25" t="s">
        <v>1078</v>
      </c>
      <c r="B245" s="25" t="s">
        <v>1062</v>
      </c>
      <c r="C245" s="25" t="s">
        <v>1063</v>
      </c>
      <c r="D245" s="25" t="s">
        <v>1064</v>
      </c>
      <c r="E245" s="26" t="s">
        <v>43</v>
      </c>
      <c r="F245" s="27" t="s">
        <v>43</v>
      </c>
      <c r="G245" s="28" t="s">
        <v>43</v>
      </c>
      <c r="H245" s="29"/>
      <c r="I245" s="29" t="s">
        <v>44</v>
      </c>
      <c r="J245" s="30">
        <v>10</v>
      </c>
      <c r="K245" s="31">
        <f>202.9</f>
        <v>202.9</v>
      </c>
      <c r="L245" s="32" t="s">
        <v>675</v>
      </c>
      <c r="M245" s="31">
        <f>210</f>
        <v>210</v>
      </c>
      <c r="N245" s="32" t="s">
        <v>875</v>
      </c>
      <c r="O245" s="31">
        <f>199.6</f>
        <v>199.6</v>
      </c>
      <c r="P245" s="32" t="s">
        <v>675</v>
      </c>
      <c r="Q245" s="31">
        <f>206</f>
        <v>206</v>
      </c>
      <c r="R245" s="32" t="s">
        <v>681</v>
      </c>
      <c r="S245" s="33">
        <f>203.54</f>
        <v>203.54</v>
      </c>
      <c r="T245" s="30">
        <f>1060400</f>
        <v>1060400</v>
      </c>
      <c r="U245" s="30">
        <f>20</f>
        <v>20</v>
      </c>
      <c r="V245" s="30">
        <f>215163658</f>
        <v>215163658</v>
      </c>
      <c r="W245" s="30">
        <f>4092</f>
        <v>4092</v>
      </c>
      <c r="X245" s="34">
        <f>19</f>
        <v>19</v>
      </c>
    </row>
    <row r="246" spans="1:24">
      <c r="A246" s="25" t="s">
        <v>1078</v>
      </c>
      <c r="B246" s="25" t="s">
        <v>1065</v>
      </c>
      <c r="C246" s="25" t="s">
        <v>1066</v>
      </c>
      <c r="D246" s="25" t="s">
        <v>1067</v>
      </c>
      <c r="E246" s="26" t="s">
        <v>43</v>
      </c>
      <c r="F246" s="27" t="s">
        <v>43</v>
      </c>
      <c r="G246" s="28" t="s">
        <v>43</v>
      </c>
      <c r="H246" s="29"/>
      <c r="I246" s="29" t="s">
        <v>44</v>
      </c>
      <c r="J246" s="30">
        <v>10</v>
      </c>
      <c r="K246" s="31">
        <f>200.9</f>
        <v>200.9</v>
      </c>
      <c r="L246" s="32" t="s">
        <v>675</v>
      </c>
      <c r="M246" s="31">
        <f>207.7</f>
        <v>207.7</v>
      </c>
      <c r="N246" s="32" t="s">
        <v>676</v>
      </c>
      <c r="O246" s="31">
        <f>200</f>
        <v>200</v>
      </c>
      <c r="P246" s="32" t="s">
        <v>675</v>
      </c>
      <c r="Q246" s="31">
        <f>206.2</f>
        <v>206.2</v>
      </c>
      <c r="R246" s="32" t="s">
        <v>681</v>
      </c>
      <c r="S246" s="33">
        <f>204.11</f>
        <v>204.11</v>
      </c>
      <c r="T246" s="30">
        <f>443370</f>
        <v>443370</v>
      </c>
      <c r="U246" s="30" t="str">
        <f>"－"</f>
        <v>－</v>
      </c>
      <c r="V246" s="30">
        <f>90105934</f>
        <v>90105934</v>
      </c>
      <c r="W246" s="30" t="str">
        <f>"－"</f>
        <v>－</v>
      </c>
      <c r="X246" s="34">
        <f>19</f>
        <v>19</v>
      </c>
    </row>
    <row r="247" spans="1:24">
      <c r="A247" s="25" t="s">
        <v>1078</v>
      </c>
      <c r="B247" s="25" t="s">
        <v>1068</v>
      </c>
      <c r="C247" s="25" t="s">
        <v>1069</v>
      </c>
      <c r="D247" s="25" t="s">
        <v>1070</v>
      </c>
      <c r="E247" s="26" t="s">
        <v>43</v>
      </c>
      <c r="F247" s="27" t="s">
        <v>43</v>
      </c>
      <c r="G247" s="28" t="s">
        <v>43</v>
      </c>
      <c r="H247" s="29"/>
      <c r="I247" s="29" t="s">
        <v>44</v>
      </c>
      <c r="J247" s="30">
        <v>10</v>
      </c>
      <c r="K247" s="31">
        <f>204</f>
        <v>204</v>
      </c>
      <c r="L247" s="32" t="s">
        <v>675</v>
      </c>
      <c r="M247" s="31">
        <f>206.4</f>
        <v>206.4</v>
      </c>
      <c r="N247" s="32" t="s">
        <v>778</v>
      </c>
      <c r="O247" s="31">
        <f>198.1</f>
        <v>198.1</v>
      </c>
      <c r="P247" s="32" t="s">
        <v>675</v>
      </c>
      <c r="Q247" s="31">
        <f>205.4</f>
        <v>205.4</v>
      </c>
      <c r="R247" s="32" t="s">
        <v>681</v>
      </c>
      <c r="S247" s="33">
        <f>203.02</f>
        <v>203.02</v>
      </c>
      <c r="T247" s="30">
        <f>824290</f>
        <v>824290</v>
      </c>
      <c r="U247" s="30">
        <f>60</f>
        <v>60</v>
      </c>
      <c r="V247" s="30">
        <f>166725438</f>
        <v>166725438</v>
      </c>
      <c r="W247" s="30">
        <f>12406</f>
        <v>12406</v>
      </c>
      <c r="X247" s="34">
        <f>19</f>
        <v>19</v>
      </c>
    </row>
    <row r="248" spans="1:24">
      <c r="A248" s="25" t="s">
        <v>1078</v>
      </c>
      <c r="B248" s="25" t="s">
        <v>1071</v>
      </c>
      <c r="C248" s="25" t="s">
        <v>1072</v>
      </c>
      <c r="D248" s="25" t="s">
        <v>1073</v>
      </c>
      <c r="E248" s="26" t="s">
        <v>43</v>
      </c>
      <c r="F248" s="27" t="s">
        <v>43</v>
      </c>
      <c r="G248" s="28" t="s">
        <v>43</v>
      </c>
      <c r="H248" s="29"/>
      <c r="I248" s="29" t="s">
        <v>44</v>
      </c>
      <c r="J248" s="30">
        <v>10</v>
      </c>
      <c r="K248" s="31">
        <f>219.9</f>
        <v>219.9</v>
      </c>
      <c r="L248" s="32" t="s">
        <v>675</v>
      </c>
      <c r="M248" s="31">
        <f>223.2</f>
        <v>223.2</v>
      </c>
      <c r="N248" s="32" t="s">
        <v>875</v>
      </c>
      <c r="O248" s="31">
        <f>202.1</f>
        <v>202.1</v>
      </c>
      <c r="P248" s="32" t="s">
        <v>778</v>
      </c>
      <c r="Q248" s="31">
        <f>206.7</f>
        <v>206.7</v>
      </c>
      <c r="R248" s="32" t="s">
        <v>681</v>
      </c>
      <c r="S248" s="33">
        <f>206.28</f>
        <v>206.28</v>
      </c>
      <c r="T248" s="30">
        <f>28520</f>
        <v>28520</v>
      </c>
      <c r="U248" s="30">
        <f>60</f>
        <v>60</v>
      </c>
      <c r="V248" s="30">
        <f>5894752</f>
        <v>5894752</v>
      </c>
      <c r="W248" s="30">
        <f>12320</f>
        <v>12320</v>
      </c>
      <c r="X248" s="34">
        <f>19</f>
        <v>19</v>
      </c>
    </row>
    <row r="249" spans="1:24">
      <c r="A249" s="25" t="s">
        <v>1078</v>
      </c>
      <c r="B249" s="25" t="s">
        <v>539</v>
      </c>
      <c r="C249" s="25" t="s">
        <v>540</v>
      </c>
      <c r="D249" s="25" t="s">
        <v>541</v>
      </c>
      <c r="E249" s="26" t="s">
        <v>43</v>
      </c>
      <c r="F249" s="27" t="s">
        <v>43</v>
      </c>
      <c r="G249" s="28" t="s">
        <v>43</v>
      </c>
      <c r="H249" s="29"/>
      <c r="I249" s="29" t="s">
        <v>44</v>
      </c>
      <c r="J249" s="30">
        <v>10</v>
      </c>
      <c r="K249" s="31">
        <f>933</f>
        <v>933</v>
      </c>
      <c r="L249" s="32" t="s">
        <v>675</v>
      </c>
      <c r="M249" s="31">
        <f>942.5</f>
        <v>942.5</v>
      </c>
      <c r="N249" s="32" t="s">
        <v>875</v>
      </c>
      <c r="O249" s="31">
        <f>924.7</f>
        <v>924.7</v>
      </c>
      <c r="P249" s="32" t="s">
        <v>679</v>
      </c>
      <c r="Q249" s="31">
        <f>929.1</f>
        <v>929.1</v>
      </c>
      <c r="R249" s="32" t="s">
        <v>681</v>
      </c>
      <c r="S249" s="33">
        <f>934.09</f>
        <v>934.09</v>
      </c>
      <c r="T249" s="30">
        <f>4451320</f>
        <v>4451320</v>
      </c>
      <c r="U249" s="30">
        <f>3023650</f>
        <v>3023650</v>
      </c>
      <c r="V249" s="30">
        <f>4150978382</f>
        <v>4150978382</v>
      </c>
      <c r="W249" s="30">
        <f>2817139070</f>
        <v>2817139070</v>
      </c>
      <c r="X249" s="34">
        <f>19</f>
        <v>19</v>
      </c>
    </row>
    <row r="250" spans="1:24">
      <c r="A250" s="25" t="s">
        <v>1078</v>
      </c>
      <c r="B250" s="25" t="s">
        <v>542</v>
      </c>
      <c r="C250" s="25" t="s">
        <v>543</v>
      </c>
      <c r="D250" s="25" t="s">
        <v>544</v>
      </c>
      <c r="E250" s="26" t="s">
        <v>43</v>
      </c>
      <c r="F250" s="27" t="s">
        <v>43</v>
      </c>
      <c r="G250" s="28" t="s">
        <v>43</v>
      </c>
      <c r="H250" s="29"/>
      <c r="I250" s="29" t="s">
        <v>44</v>
      </c>
      <c r="J250" s="30">
        <v>10</v>
      </c>
      <c r="K250" s="31">
        <f>1052.5</f>
        <v>1052.5</v>
      </c>
      <c r="L250" s="32" t="s">
        <v>675</v>
      </c>
      <c r="M250" s="31">
        <f>1076</f>
        <v>1076</v>
      </c>
      <c r="N250" s="32" t="s">
        <v>778</v>
      </c>
      <c r="O250" s="31">
        <f>1048</f>
        <v>1048</v>
      </c>
      <c r="P250" s="32" t="s">
        <v>675</v>
      </c>
      <c r="Q250" s="31">
        <f>1072.5</f>
        <v>1072.5</v>
      </c>
      <c r="R250" s="32" t="s">
        <v>681</v>
      </c>
      <c r="S250" s="33">
        <f>1066.79</f>
        <v>1066.79</v>
      </c>
      <c r="T250" s="30">
        <f>1318730</f>
        <v>1318730</v>
      </c>
      <c r="U250" s="30">
        <f>443400</f>
        <v>443400</v>
      </c>
      <c r="V250" s="30">
        <f>1403559074</f>
        <v>1403559074</v>
      </c>
      <c r="W250" s="30">
        <f>471569739</f>
        <v>471569739</v>
      </c>
      <c r="X250" s="34">
        <f>19</f>
        <v>19</v>
      </c>
    </row>
    <row r="251" spans="1:24">
      <c r="A251" s="25" t="s">
        <v>1078</v>
      </c>
      <c r="B251" s="25" t="s">
        <v>545</v>
      </c>
      <c r="C251" s="25" t="s">
        <v>546</v>
      </c>
      <c r="D251" s="25" t="s">
        <v>547</v>
      </c>
      <c r="E251" s="26" t="s">
        <v>43</v>
      </c>
      <c r="F251" s="27" t="s">
        <v>43</v>
      </c>
      <c r="G251" s="28" t="s">
        <v>43</v>
      </c>
      <c r="H251" s="29"/>
      <c r="I251" s="29" t="s">
        <v>44</v>
      </c>
      <c r="J251" s="30">
        <v>10</v>
      </c>
      <c r="K251" s="31">
        <f>812.8</f>
        <v>812.8</v>
      </c>
      <c r="L251" s="32" t="s">
        <v>675</v>
      </c>
      <c r="M251" s="31">
        <f>814.6</f>
        <v>814.6</v>
      </c>
      <c r="N251" s="32" t="s">
        <v>675</v>
      </c>
      <c r="O251" s="31">
        <f>796</f>
        <v>796</v>
      </c>
      <c r="P251" s="32" t="s">
        <v>679</v>
      </c>
      <c r="Q251" s="31">
        <f>803.6</f>
        <v>803.6</v>
      </c>
      <c r="R251" s="32" t="s">
        <v>681</v>
      </c>
      <c r="S251" s="33">
        <f>803.65</f>
        <v>803.65</v>
      </c>
      <c r="T251" s="30">
        <f>2652610</f>
        <v>2652610</v>
      </c>
      <c r="U251" s="30">
        <f>2197740</f>
        <v>2197740</v>
      </c>
      <c r="V251" s="30">
        <f>2130390762</f>
        <v>2130390762</v>
      </c>
      <c r="W251" s="30">
        <f>1764892988</f>
        <v>1764892988</v>
      </c>
      <c r="X251" s="34">
        <f>19</f>
        <v>19</v>
      </c>
    </row>
    <row r="252" spans="1:24">
      <c r="A252" s="25" t="s">
        <v>1078</v>
      </c>
      <c r="B252" s="25" t="s">
        <v>548</v>
      </c>
      <c r="C252" s="25" t="s">
        <v>549</v>
      </c>
      <c r="D252" s="25" t="s">
        <v>550</v>
      </c>
      <c r="E252" s="26" t="s">
        <v>43</v>
      </c>
      <c r="F252" s="27" t="s">
        <v>43</v>
      </c>
      <c r="G252" s="28" t="s">
        <v>43</v>
      </c>
      <c r="H252" s="29"/>
      <c r="I252" s="29" t="s">
        <v>44</v>
      </c>
      <c r="J252" s="30">
        <v>10</v>
      </c>
      <c r="K252" s="31">
        <f>2053</f>
        <v>2053</v>
      </c>
      <c r="L252" s="32" t="s">
        <v>675</v>
      </c>
      <c r="M252" s="31">
        <f>2187</f>
        <v>2187</v>
      </c>
      <c r="N252" s="32" t="s">
        <v>777</v>
      </c>
      <c r="O252" s="31">
        <f>2037.5</f>
        <v>2037.5</v>
      </c>
      <c r="P252" s="32" t="s">
        <v>675</v>
      </c>
      <c r="Q252" s="31">
        <f>2179</f>
        <v>2179</v>
      </c>
      <c r="R252" s="32" t="s">
        <v>681</v>
      </c>
      <c r="S252" s="33">
        <f>2124.55</f>
        <v>2124.5500000000002</v>
      </c>
      <c r="T252" s="30">
        <f>1408690</f>
        <v>1408690</v>
      </c>
      <c r="U252" s="30">
        <f>1013540</f>
        <v>1013540</v>
      </c>
      <c r="V252" s="30">
        <f>3015828444</f>
        <v>3015828444</v>
      </c>
      <c r="W252" s="30">
        <f>2179539959</f>
        <v>2179539959</v>
      </c>
      <c r="X252" s="34">
        <f>19</f>
        <v>19</v>
      </c>
    </row>
    <row r="253" spans="1:24">
      <c r="A253" s="25" t="s">
        <v>1078</v>
      </c>
      <c r="B253" s="25" t="s">
        <v>551</v>
      </c>
      <c r="C253" s="25" t="s">
        <v>552</v>
      </c>
      <c r="D253" s="25" t="s">
        <v>553</v>
      </c>
      <c r="E253" s="26" t="s">
        <v>43</v>
      </c>
      <c r="F253" s="27" t="s">
        <v>43</v>
      </c>
      <c r="G253" s="28" t="s">
        <v>43</v>
      </c>
      <c r="H253" s="29"/>
      <c r="I253" s="29" t="s">
        <v>44</v>
      </c>
      <c r="J253" s="30">
        <v>10</v>
      </c>
      <c r="K253" s="31">
        <f>1439.5</f>
        <v>1439.5</v>
      </c>
      <c r="L253" s="32" t="s">
        <v>675</v>
      </c>
      <c r="M253" s="31">
        <f>1495</f>
        <v>1495</v>
      </c>
      <c r="N253" s="32" t="s">
        <v>777</v>
      </c>
      <c r="O253" s="31">
        <f>1434</f>
        <v>1434</v>
      </c>
      <c r="P253" s="32" t="s">
        <v>674</v>
      </c>
      <c r="Q253" s="31">
        <f>1486.5</f>
        <v>1486.5</v>
      </c>
      <c r="R253" s="32" t="s">
        <v>681</v>
      </c>
      <c r="S253" s="33">
        <f>1459.53</f>
        <v>1459.53</v>
      </c>
      <c r="T253" s="30">
        <f>790640</f>
        <v>790640</v>
      </c>
      <c r="U253" s="30">
        <f>644160</f>
        <v>644160</v>
      </c>
      <c r="V253" s="30">
        <f>1144214751</f>
        <v>1144214751</v>
      </c>
      <c r="W253" s="30">
        <f>930019626</f>
        <v>930019626</v>
      </c>
      <c r="X253" s="34">
        <f>19</f>
        <v>19</v>
      </c>
    </row>
    <row r="254" spans="1:24">
      <c r="A254" s="25" t="s">
        <v>1078</v>
      </c>
      <c r="B254" s="25" t="s">
        <v>554</v>
      </c>
      <c r="C254" s="25" t="s">
        <v>555</v>
      </c>
      <c r="D254" s="25" t="s">
        <v>556</v>
      </c>
      <c r="E254" s="26" t="s">
        <v>43</v>
      </c>
      <c r="F254" s="27" t="s">
        <v>43</v>
      </c>
      <c r="G254" s="28" t="s">
        <v>43</v>
      </c>
      <c r="H254" s="29"/>
      <c r="I254" s="29" t="s">
        <v>44</v>
      </c>
      <c r="J254" s="30">
        <v>10</v>
      </c>
      <c r="K254" s="31">
        <f>1292.5</f>
        <v>1292.5</v>
      </c>
      <c r="L254" s="32" t="s">
        <v>675</v>
      </c>
      <c r="M254" s="31">
        <f>1317.5</f>
        <v>1317.5</v>
      </c>
      <c r="N254" s="32" t="s">
        <v>684</v>
      </c>
      <c r="O254" s="31">
        <f>1275</f>
        <v>1275</v>
      </c>
      <c r="P254" s="32" t="s">
        <v>675</v>
      </c>
      <c r="Q254" s="31">
        <f>1304</f>
        <v>1304</v>
      </c>
      <c r="R254" s="32" t="s">
        <v>681</v>
      </c>
      <c r="S254" s="33">
        <f>1301.63</f>
        <v>1301.6300000000001</v>
      </c>
      <c r="T254" s="30">
        <f>773460</f>
        <v>773460</v>
      </c>
      <c r="U254" s="30">
        <f>247370</f>
        <v>247370</v>
      </c>
      <c r="V254" s="30">
        <f>1004477475</f>
        <v>1004477475</v>
      </c>
      <c r="W254" s="30">
        <f>320175785</f>
        <v>320175785</v>
      </c>
      <c r="X254" s="34">
        <f>19</f>
        <v>19</v>
      </c>
    </row>
    <row r="255" spans="1:24">
      <c r="A255" s="25" t="s">
        <v>1078</v>
      </c>
      <c r="B255" s="25" t="s">
        <v>557</v>
      </c>
      <c r="C255" s="25" t="s">
        <v>1074</v>
      </c>
      <c r="D255" s="25" t="s">
        <v>1075</v>
      </c>
      <c r="E255" s="26" t="s">
        <v>43</v>
      </c>
      <c r="F255" s="27" t="s">
        <v>43</v>
      </c>
      <c r="G255" s="28" t="s">
        <v>43</v>
      </c>
      <c r="H255" s="29"/>
      <c r="I255" s="29" t="s">
        <v>44</v>
      </c>
      <c r="J255" s="30">
        <v>10</v>
      </c>
      <c r="K255" s="31">
        <f>540.3</f>
        <v>540.29999999999995</v>
      </c>
      <c r="L255" s="32" t="s">
        <v>675</v>
      </c>
      <c r="M255" s="31">
        <f>565.5</f>
        <v>565.5</v>
      </c>
      <c r="N255" s="32" t="s">
        <v>676</v>
      </c>
      <c r="O255" s="31">
        <f>530.3</f>
        <v>530.29999999999995</v>
      </c>
      <c r="P255" s="32" t="s">
        <v>678</v>
      </c>
      <c r="Q255" s="31">
        <f>554.5</f>
        <v>554.5</v>
      </c>
      <c r="R255" s="32" t="s">
        <v>681</v>
      </c>
      <c r="S255" s="33">
        <f>549.12</f>
        <v>549.12</v>
      </c>
      <c r="T255" s="30">
        <f>40031360</f>
        <v>40031360</v>
      </c>
      <c r="U255" s="30">
        <f>1029090</f>
        <v>1029090</v>
      </c>
      <c r="V255" s="30">
        <f>22008081958</f>
        <v>22008081958</v>
      </c>
      <c r="W255" s="30">
        <f>565119424</f>
        <v>565119424</v>
      </c>
      <c r="X255" s="34">
        <f>19</f>
        <v>19</v>
      </c>
    </row>
    <row r="256" spans="1:24">
      <c r="A256" s="25" t="s">
        <v>1078</v>
      </c>
      <c r="B256" s="25" t="s">
        <v>558</v>
      </c>
      <c r="C256" s="25" t="s">
        <v>559</v>
      </c>
      <c r="D256" s="25" t="s">
        <v>560</v>
      </c>
      <c r="E256" s="26" t="s">
        <v>43</v>
      </c>
      <c r="F256" s="27" t="s">
        <v>43</v>
      </c>
      <c r="G256" s="28" t="s">
        <v>43</v>
      </c>
      <c r="H256" s="29"/>
      <c r="I256" s="29" t="s">
        <v>44</v>
      </c>
      <c r="J256" s="30">
        <v>10</v>
      </c>
      <c r="K256" s="31">
        <f>1093</f>
        <v>1093</v>
      </c>
      <c r="L256" s="32" t="s">
        <v>675</v>
      </c>
      <c r="M256" s="31">
        <f>1120</f>
        <v>1120</v>
      </c>
      <c r="N256" s="32" t="s">
        <v>681</v>
      </c>
      <c r="O256" s="31">
        <f>1078.5</f>
        <v>1078.5</v>
      </c>
      <c r="P256" s="32" t="s">
        <v>675</v>
      </c>
      <c r="Q256" s="31">
        <f>1092</f>
        <v>1092</v>
      </c>
      <c r="R256" s="32" t="s">
        <v>681</v>
      </c>
      <c r="S256" s="33">
        <f>1096.34</f>
        <v>1096.3399999999999</v>
      </c>
      <c r="T256" s="30">
        <f>1746510</f>
        <v>1746510</v>
      </c>
      <c r="U256" s="30">
        <f>1660790</f>
        <v>1660790</v>
      </c>
      <c r="V256" s="30">
        <f>1913147645</f>
        <v>1913147645</v>
      </c>
      <c r="W256" s="30">
        <f>1819227850</f>
        <v>1819227850</v>
      </c>
      <c r="X256" s="34">
        <f>19</f>
        <v>19</v>
      </c>
    </row>
    <row r="257" spans="1:24">
      <c r="A257" s="25" t="s">
        <v>1078</v>
      </c>
      <c r="B257" s="25" t="s">
        <v>561</v>
      </c>
      <c r="C257" s="25" t="s">
        <v>562</v>
      </c>
      <c r="D257" s="25" t="s">
        <v>563</v>
      </c>
      <c r="E257" s="26" t="s">
        <v>43</v>
      </c>
      <c r="F257" s="27" t="s">
        <v>43</v>
      </c>
      <c r="G257" s="28" t="s">
        <v>43</v>
      </c>
      <c r="H257" s="29"/>
      <c r="I257" s="29" t="s">
        <v>44</v>
      </c>
      <c r="J257" s="30">
        <v>1</v>
      </c>
      <c r="K257" s="31">
        <f>1308</f>
        <v>1308</v>
      </c>
      <c r="L257" s="32" t="s">
        <v>675</v>
      </c>
      <c r="M257" s="31">
        <f>1423</f>
        <v>1423</v>
      </c>
      <c r="N257" s="32" t="s">
        <v>778</v>
      </c>
      <c r="O257" s="31">
        <f>1296</f>
        <v>1296</v>
      </c>
      <c r="P257" s="32" t="s">
        <v>675</v>
      </c>
      <c r="Q257" s="31">
        <f>1410</f>
        <v>1410</v>
      </c>
      <c r="R257" s="32" t="s">
        <v>681</v>
      </c>
      <c r="S257" s="33">
        <f>1384.32</f>
        <v>1384.32</v>
      </c>
      <c r="T257" s="30">
        <f>107833</f>
        <v>107833</v>
      </c>
      <c r="U257" s="30">
        <f>2</f>
        <v>2</v>
      </c>
      <c r="V257" s="30">
        <f>145718579</f>
        <v>145718579</v>
      </c>
      <c r="W257" s="30">
        <f>2640</f>
        <v>2640</v>
      </c>
      <c r="X257" s="34">
        <f>19</f>
        <v>19</v>
      </c>
    </row>
    <row r="258" spans="1:24">
      <c r="A258" s="25" t="s">
        <v>1078</v>
      </c>
      <c r="B258" s="25" t="s">
        <v>564</v>
      </c>
      <c r="C258" s="25" t="s">
        <v>565</v>
      </c>
      <c r="D258" s="25" t="s">
        <v>566</v>
      </c>
      <c r="E258" s="26" t="s">
        <v>43</v>
      </c>
      <c r="F258" s="27" t="s">
        <v>43</v>
      </c>
      <c r="G258" s="28" t="s">
        <v>43</v>
      </c>
      <c r="H258" s="29"/>
      <c r="I258" s="29" t="s">
        <v>44</v>
      </c>
      <c r="J258" s="30">
        <v>10</v>
      </c>
      <c r="K258" s="31">
        <f>987.6</f>
        <v>987.6</v>
      </c>
      <c r="L258" s="32" t="s">
        <v>675</v>
      </c>
      <c r="M258" s="31">
        <f>1018</f>
        <v>1018</v>
      </c>
      <c r="N258" s="32" t="s">
        <v>778</v>
      </c>
      <c r="O258" s="31">
        <f>977</f>
        <v>977</v>
      </c>
      <c r="P258" s="32" t="s">
        <v>876</v>
      </c>
      <c r="Q258" s="31">
        <f>1011.5</f>
        <v>1011.5</v>
      </c>
      <c r="R258" s="32" t="s">
        <v>681</v>
      </c>
      <c r="S258" s="33">
        <f>1003.64</f>
        <v>1003.64</v>
      </c>
      <c r="T258" s="30">
        <f>119770</f>
        <v>119770</v>
      </c>
      <c r="U258" s="30">
        <f>1690</f>
        <v>1690</v>
      </c>
      <c r="V258" s="30">
        <f>119577552</f>
        <v>119577552</v>
      </c>
      <c r="W258" s="30">
        <f>1701605</f>
        <v>1701605</v>
      </c>
      <c r="X258" s="34">
        <f>19</f>
        <v>19</v>
      </c>
    </row>
    <row r="259" spans="1:24">
      <c r="A259" s="25" t="s">
        <v>1078</v>
      </c>
      <c r="B259" s="25" t="s">
        <v>567</v>
      </c>
      <c r="C259" s="25" t="s">
        <v>568</v>
      </c>
      <c r="D259" s="25" t="s">
        <v>569</v>
      </c>
      <c r="E259" s="26" t="s">
        <v>43</v>
      </c>
      <c r="F259" s="27" t="s">
        <v>43</v>
      </c>
      <c r="G259" s="28" t="s">
        <v>43</v>
      </c>
      <c r="H259" s="29"/>
      <c r="I259" s="29" t="s">
        <v>44</v>
      </c>
      <c r="J259" s="30">
        <v>10</v>
      </c>
      <c r="K259" s="31">
        <f>1248</f>
        <v>1248</v>
      </c>
      <c r="L259" s="32" t="s">
        <v>675</v>
      </c>
      <c r="M259" s="31">
        <f>1277.5</f>
        <v>1277.5</v>
      </c>
      <c r="N259" s="32" t="s">
        <v>883</v>
      </c>
      <c r="O259" s="31">
        <f>1230</f>
        <v>1230</v>
      </c>
      <c r="P259" s="32" t="s">
        <v>678</v>
      </c>
      <c r="Q259" s="31">
        <f>1264.5</f>
        <v>1264.5</v>
      </c>
      <c r="R259" s="32" t="s">
        <v>681</v>
      </c>
      <c r="S259" s="33">
        <f>1256.79</f>
        <v>1256.79</v>
      </c>
      <c r="T259" s="30">
        <f>127450</f>
        <v>127450</v>
      </c>
      <c r="U259" s="30">
        <f>38330</f>
        <v>38330</v>
      </c>
      <c r="V259" s="30">
        <f>160677643</f>
        <v>160677643</v>
      </c>
      <c r="W259" s="30">
        <f>48395458</f>
        <v>48395458</v>
      </c>
      <c r="X259" s="34">
        <f>19</f>
        <v>19</v>
      </c>
    </row>
    <row r="260" spans="1:24">
      <c r="A260" s="25" t="s">
        <v>1078</v>
      </c>
      <c r="B260" s="25" t="s">
        <v>570</v>
      </c>
      <c r="C260" s="25" t="s">
        <v>571</v>
      </c>
      <c r="D260" s="25" t="s">
        <v>572</v>
      </c>
      <c r="E260" s="26" t="s">
        <v>43</v>
      </c>
      <c r="F260" s="27" t="s">
        <v>43</v>
      </c>
      <c r="G260" s="28" t="s">
        <v>43</v>
      </c>
      <c r="H260" s="29"/>
      <c r="I260" s="29" t="s">
        <v>44</v>
      </c>
      <c r="J260" s="30">
        <v>10</v>
      </c>
      <c r="K260" s="31">
        <f>1503</f>
        <v>1503</v>
      </c>
      <c r="L260" s="32" t="s">
        <v>675</v>
      </c>
      <c r="M260" s="31">
        <f>1554.5</f>
        <v>1554.5</v>
      </c>
      <c r="N260" s="32" t="s">
        <v>777</v>
      </c>
      <c r="O260" s="31">
        <f>1493</f>
        <v>1493</v>
      </c>
      <c r="P260" s="32" t="s">
        <v>678</v>
      </c>
      <c r="Q260" s="31">
        <f>1546</f>
        <v>1546</v>
      </c>
      <c r="R260" s="32" t="s">
        <v>681</v>
      </c>
      <c r="S260" s="33">
        <f>1525.29</f>
        <v>1525.29</v>
      </c>
      <c r="T260" s="30">
        <f>2991860</f>
        <v>2991860</v>
      </c>
      <c r="U260" s="30">
        <f>1180740</f>
        <v>1180740</v>
      </c>
      <c r="V260" s="30">
        <f>4557157350</f>
        <v>4557157350</v>
      </c>
      <c r="W260" s="30">
        <f>1785353520</f>
        <v>1785353520</v>
      </c>
      <c r="X260" s="34">
        <f>19</f>
        <v>19</v>
      </c>
    </row>
    <row r="261" spans="1:24">
      <c r="A261" s="25" t="s">
        <v>1078</v>
      </c>
      <c r="B261" s="25" t="s">
        <v>573</v>
      </c>
      <c r="C261" s="25" t="s">
        <v>574</v>
      </c>
      <c r="D261" s="25" t="s">
        <v>575</v>
      </c>
      <c r="E261" s="26" t="s">
        <v>43</v>
      </c>
      <c r="F261" s="27" t="s">
        <v>43</v>
      </c>
      <c r="G261" s="28" t="s">
        <v>43</v>
      </c>
      <c r="H261" s="29"/>
      <c r="I261" s="29" t="s">
        <v>44</v>
      </c>
      <c r="J261" s="30">
        <v>1</v>
      </c>
      <c r="K261" s="31">
        <f>4725</f>
        <v>4725</v>
      </c>
      <c r="L261" s="32" t="s">
        <v>675</v>
      </c>
      <c r="M261" s="31">
        <f>5190</f>
        <v>5190</v>
      </c>
      <c r="N261" s="32" t="s">
        <v>683</v>
      </c>
      <c r="O261" s="31">
        <f>4700</f>
        <v>4700</v>
      </c>
      <c r="P261" s="32" t="s">
        <v>675</v>
      </c>
      <c r="Q261" s="31">
        <f>5110</f>
        <v>5110</v>
      </c>
      <c r="R261" s="32" t="s">
        <v>681</v>
      </c>
      <c r="S261" s="33">
        <f>4983.42</f>
        <v>4983.42</v>
      </c>
      <c r="T261" s="30">
        <f>26472</f>
        <v>26472</v>
      </c>
      <c r="U261" s="30" t="str">
        <f>"－"</f>
        <v>－</v>
      </c>
      <c r="V261" s="30">
        <f>132484115</f>
        <v>132484115</v>
      </c>
      <c r="W261" s="30" t="str">
        <f>"－"</f>
        <v>－</v>
      </c>
      <c r="X261" s="34">
        <f>19</f>
        <v>19</v>
      </c>
    </row>
    <row r="262" spans="1:24">
      <c r="A262" s="25" t="s">
        <v>1078</v>
      </c>
      <c r="B262" s="25" t="s">
        <v>576</v>
      </c>
      <c r="C262" s="25" t="s">
        <v>577</v>
      </c>
      <c r="D262" s="25" t="s">
        <v>578</v>
      </c>
      <c r="E262" s="26" t="s">
        <v>43</v>
      </c>
      <c r="F262" s="27" t="s">
        <v>43</v>
      </c>
      <c r="G262" s="28" t="s">
        <v>43</v>
      </c>
      <c r="H262" s="29"/>
      <c r="I262" s="29" t="s">
        <v>44</v>
      </c>
      <c r="J262" s="30">
        <v>10</v>
      </c>
      <c r="K262" s="31">
        <f>1955</f>
        <v>1955</v>
      </c>
      <c r="L262" s="32" t="s">
        <v>675</v>
      </c>
      <c r="M262" s="31">
        <f>2036</f>
        <v>2036</v>
      </c>
      <c r="N262" s="32" t="s">
        <v>684</v>
      </c>
      <c r="O262" s="31">
        <f>1950.5</f>
        <v>1950.5</v>
      </c>
      <c r="P262" s="32" t="s">
        <v>874</v>
      </c>
      <c r="Q262" s="31">
        <f>2000</f>
        <v>2000</v>
      </c>
      <c r="R262" s="32" t="s">
        <v>679</v>
      </c>
      <c r="S262" s="33">
        <f>1985.7</f>
        <v>1985.7</v>
      </c>
      <c r="T262" s="30">
        <f>620</f>
        <v>620</v>
      </c>
      <c r="U262" s="30" t="str">
        <f>"－"</f>
        <v>－</v>
      </c>
      <c r="V262" s="30">
        <f>1224755</f>
        <v>1224755</v>
      </c>
      <c r="W262" s="30" t="str">
        <f>"－"</f>
        <v>－</v>
      </c>
      <c r="X262" s="34">
        <f>10</f>
        <v>10</v>
      </c>
    </row>
    <row r="263" spans="1:24">
      <c r="A263" s="25" t="s">
        <v>1078</v>
      </c>
      <c r="B263" s="25" t="s">
        <v>579</v>
      </c>
      <c r="C263" s="25" t="s">
        <v>580</v>
      </c>
      <c r="D263" s="25" t="s">
        <v>581</v>
      </c>
      <c r="E263" s="26" t="s">
        <v>43</v>
      </c>
      <c r="F263" s="27" t="s">
        <v>43</v>
      </c>
      <c r="G263" s="28" t="s">
        <v>43</v>
      </c>
      <c r="H263" s="29"/>
      <c r="I263" s="29" t="s">
        <v>44</v>
      </c>
      <c r="J263" s="30">
        <v>10</v>
      </c>
      <c r="K263" s="31">
        <f>2423</f>
        <v>2423</v>
      </c>
      <c r="L263" s="32" t="s">
        <v>675</v>
      </c>
      <c r="M263" s="31">
        <f>2640</f>
        <v>2640</v>
      </c>
      <c r="N263" s="32" t="s">
        <v>778</v>
      </c>
      <c r="O263" s="31">
        <f>2405</f>
        <v>2405</v>
      </c>
      <c r="P263" s="32" t="s">
        <v>675</v>
      </c>
      <c r="Q263" s="31">
        <f>2597.5</f>
        <v>2597.5</v>
      </c>
      <c r="R263" s="32" t="s">
        <v>681</v>
      </c>
      <c r="S263" s="33">
        <f>2566.11</f>
        <v>2566.11</v>
      </c>
      <c r="T263" s="30">
        <f>2666610</f>
        <v>2666610</v>
      </c>
      <c r="U263" s="30">
        <f>1446500</f>
        <v>1446500</v>
      </c>
      <c r="V263" s="30">
        <f>6849273171</f>
        <v>6849273171</v>
      </c>
      <c r="W263" s="30">
        <f>3714160721</f>
        <v>3714160721</v>
      </c>
      <c r="X263" s="34">
        <f>19</f>
        <v>19</v>
      </c>
    </row>
    <row r="264" spans="1:24">
      <c r="A264" s="25" t="s">
        <v>1078</v>
      </c>
      <c r="B264" s="25" t="s">
        <v>582</v>
      </c>
      <c r="C264" s="25" t="s">
        <v>583</v>
      </c>
      <c r="D264" s="25" t="s">
        <v>584</v>
      </c>
      <c r="E264" s="26" t="s">
        <v>43</v>
      </c>
      <c r="F264" s="27" t="s">
        <v>43</v>
      </c>
      <c r="G264" s="28" t="s">
        <v>43</v>
      </c>
      <c r="H264" s="29"/>
      <c r="I264" s="29" t="s">
        <v>44</v>
      </c>
      <c r="J264" s="30">
        <v>1</v>
      </c>
      <c r="K264" s="31">
        <f>33360</f>
        <v>33360</v>
      </c>
      <c r="L264" s="32" t="s">
        <v>675</v>
      </c>
      <c r="M264" s="31">
        <f>37450</f>
        <v>37450</v>
      </c>
      <c r="N264" s="32" t="s">
        <v>778</v>
      </c>
      <c r="O264" s="31">
        <f>33360</f>
        <v>33360</v>
      </c>
      <c r="P264" s="32" t="s">
        <v>675</v>
      </c>
      <c r="Q264" s="31">
        <f>36940</f>
        <v>36940</v>
      </c>
      <c r="R264" s="32" t="s">
        <v>681</v>
      </c>
      <c r="S264" s="33">
        <f>36103.68</f>
        <v>36103.68</v>
      </c>
      <c r="T264" s="30">
        <f>80854</f>
        <v>80854</v>
      </c>
      <c r="U264" s="30">
        <f>9747</f>
        <v>9747</v>
      </c>
      <c r="V264" s="30">
        <f>2925428249</f>
        <v>2925428249</v>
      </c>
      <c r="W264" s="30">
        <f>347580019</f>
        <v>347580019</v>
      </c>
      <c r="X264" s="34">
        <f>19</f>
        <v>19</v>
      </c>
    </row>
    <row r="265" spans="1:24">
      <c r="A265" s="25" t="s">
        <v>1078</v>
      </c>
      <c r="B265" s="25" t="s">
        <v>585</v>
      </c>
      <c r="C265" s="25" t="s">
        <v>586</v>
      </c>
      <c r="D265" s="25" t="s">
        <v>587</v>
      </c>
      <c r="E265" s="26" t="s">
        <v>43</v>
      </c>
      <c r="F265" s="27" t="s">
        <v>43</v>
      </c>
      <c r="G265" s="28" t="s">
        <v>43</v>
      </c>
      <c r="H265" s="29"/>
      <c r="I265" s="29" t="s">
        <v>44</v>
      </c>
      <c r="J265" s="30">
        <v>1</v>
      </c>
      <c r="K265" s="31">
        <f>21775</f>
        <v>21775</v>
      </c>
      <c r="L265" s="32" t="s">
        <v>675</v>
      </c>
      <c r="M265" s="31">
        <f>23535</f>
        <v>23535</v>
      </c>
      <c r="N265" s="32" t="s">
        <v>778</v>
      </c>
      <c r="O265" s="31">
        <f>21775</f>
        <v>21775</v>
      </c>
      <c r="P265" s="32" t="s">
        <v>675</v>
      </c>
      <c r="Q265" s="31">
        <f>23505</f>
        <v>23505</v>
      </c>
      <c r="R265" s="32" t="s">
        <v>681</v>
      </c>
      <c r="S265" s="33">
        <f>23052.5</f>
        <v>23052.5</v>
      </c>
      <c r="T265" s="30">
        <f>15074</f>
        <v>15074</v>
      </c>
      <c r="U265" s="30">
        <f>10000</f>
        <v>10000</v>
      </c>
      <c r="V265" s="30">
        <f>353694570</f>
        <v>353694570</v>
      </c>
      <c r="W265" s="30">
        <f>234930000</f>
        <v>234930000</v>
      </c>
      <c r="X265" s="34">
        <f>8</f>
        <v>8</v>
      </c>
    </row>
    <row r="266" spans="1:24">
      <c r="A266" s="25" t="s">
        <v>1078</v>
      </c>
      <c r="B266" s="25" t="s">
        <v>588</v>
      </c>
      <c r="C266" s="25" t="s">
        <v>589</v>
      </c>
      <c r="D266" s="25" t="s">
        <v>590</v>
      </c>
      <c r="E266" s="26" t="s">
        <v>43</v>
      </c>
      <c r="F266" s="27" t="s">
        <v>43</v>
      </c>
      <c r="G266" s="28" t="s">
        <v>43</v>
      </c>
      <c r="H266" s="29"/>
      <c r="I266" s="29" t="s">
        <v>44</v>
      </c>
      <c r="J266" s="30">
        <v>10</v>
      </c>
      <c r="K266" s="31">
        <f>1111</f>
        <v>1111</v>
      </c>
      <c r="L266" s="32" t="s">
        <v>675</v>
      </c>
      <c r="M266" s="31">
        <f>1118.5</f>
        <v>1118.5</v>
      </c>
      <c r="N266" s="32" t="s">
        <v>674</v>
      </c>
      <c r="O266" s="31">
        <f>1080</f>
        <v>1080</v>
      </c>
      <c r="P266" s="32" t="s">
        <v>678</v>
      </c>
      <c r="Q266" s="31">
        <f>1087</f>
        <v>1087</v>
      </c>
      <c r="R266" s="32" t="s">
        <v>777</v>
      </c>
      <c r="S266" s="33">
        <f>1097.42</f>
        <v>1097.42</v>
      </c>
      <c r="T266" s="30">
        <f>953930</f>
        <v>953930</v>
      </c>
      <c r="U266" s="30">
        <f>832340</f>
        <v>832340</v>
      </c>
      <c r="V266" s="30">
        <f>1048530819</f>
        <v>1048530819</v>
      </c>
      <c r="W266" s="30">
        <f>915360544</f>
        <v>915360544</v>
      </c>
      <c r="X266" s="34">
        <f>18</f>
        <v>18</v>
      </c>
    </row>
    <row r="267" spans="1:24">
      <c r="A267" s="25" t="s">
        <v>1078</v>
      </c>
      <c r="B267" s="25" t="s">
        <v>591</v>
      </c>
      <c r="C267" s="25" t="s">
        <v>946</v>
      </c>
      <c r="D267" s="25" t="s">
        <v>947</v>
      </c>
      <c r="E267" s="26" t="s">
        <v>43</v>
      </c>
      <c r="F267" s="27" t="s">
        <v>43</v>
      </c>
      <c r="G267" s="28" t="s">
        <v>43</v>
      </c>
      <c r="H267" s="29"/>
      <c r="I267" s="29" t="s">
        <v>44</v>
      </c>
      <c r="J267" s="30">
        <v>10</v>
      </c>
      <c r="K267" s="31">
        <f>1085</f>
        <v>1085</v>
      </c>
      <c r="L267" s="32" t="s">
        <v>675</v>
      </c>
      <c r="M267" s="31">
        <f>1107</f>
        <v>1107</v>
      </c>
      <c r="N267" s="32" t="s">
        <v>874</v>
      </c>
      <c r="O267" s="31">
        <f>1075.5</f>
        <v>1075.5</v>
      </c>
      <c r="P267" s="32" t="s">
        <v>675</v>
      </c>
      <c r="Q267" s="31">
        <f>1088</f>
        <v>1088</v>
      </c>
      <c r="R267" s="32" t="s">
        <v>681</v>
      </c>
      <c r="S267" s="33">
        <f>1092.94</f>
        <v>1092.94</v>
      </c>
      <c r="T267" s="30">
        <f>88850</f>
        <v>88850</v>
      </c>
      <c r="U267" s="30">
        <f>66580</f>
        <v>66580</v>
      </c>
      <c r="V267" s="30">
        <f>96888770</f>
        <v>96888770</v>
      </c>
      <c r="W267" s="30">
        <f>72568525</f>
        <v>72568525</v>
      </c>
      <c r="X267" s="34">
        <f>18</f>
        <v>18</v>
      </c>
    </row>
    <row r="268" spans="1:24">
      <c r="A268" s="25" t="s">
        <v>1078</v>
      </c>
      <c r="B268" s="25" t="s">
        <v>592</v>
      </c>
      <c r="C268" s="25" t="s">
        <v>593</v>
      </c>
      <c r="D268" s="25" t="s">
        <v>594</v>
      </c>
      <c r="E268" s="26" t="s">
        <v>43</v>
      </c>
      <c r="F268" s="27" t="s">
        <v>43</v>
      </c>
      <c r="G268" s="28" t="s">
        <v>43</v>
      </c>
      <c r="H268" s="29"/>
      <c r="I268" s="29" t="s">
        <v>44</v>
      </c>
      <c r="J268" s="30">
        <v>1</v>
      </c>
      <c r="K268" s="31">
        <f>1497</f>
        <v>1497</v>
      </c>
      <c r="L268" s="32" t="s">
        <v>675</v>
      </c>
      <c r="M268" s="31">
        <f>1641</f>
        <v>1641</v>
      </c>
      <c r="N268" s="32" t="s">
        <v>778</v>
      </c>
      <c r="O268" s="31">
        <f>1488</f>
        <v>1488</v>
      </c>
      <c r="P268" s="32" t="s">
        <v>675</v>
      </c>
      <c r="Q268" s="31">
        <f>1630</f>
        <v>1630</v>
      </c>
      <c r="R268" s="32" t="s">
        <v>681</v>
      </c>
      <c r="S268" s="33">
        <f>1593.89</f>
        <v>1593.89</v>
      </c>
      <c r="T268" s="30">
        <f>762366</f>
        <v>762366</v>
      </c>
      <c r="U268" s="30">
        <f>400050</f>
        <v>400050</v>
      </c>
      <c r="V268" s="30">
        <f>1197974316</f>
        <v>1197974316</v>
      </c>
      <c r="W268" s="30">
        <f>622704110</f>
        <v>622704110</v>
      </c>
      <c r="X268" s="34">
        <f>19</f>
        <v>19</v>
      </c>
    </row>
    <row r="269" spans="1:24">
      <c r="A269" s="25" t="s">
        <v>1078</v>
      </c>
      <c r="B269" s="25" t="s">
        <v>595</v>
      </c>
      <c r="C269" s="25" t="s">
        <v>596</v>
      </c>
      <c r="D269" s="25" t="s">
        <v>597</v>
      </c>
      <c r="E269" s="26" t="s">
        <v>43</v>
      </c>
      <c r="F269" s="27" t="s">
        <v>43</v>
      </c>
      <c r="G269" s="28" t="s">
        <v>43</v>
      </c>
      <c r="H269" s="29"/>
      <c r="I269" s="29" t="s">
        <v>44</v>
      </c>
      <c r="J269" s="30">
        <v>1</v>
      </c>
      <c r="K269" s="31">
        <f>11945</f>
        <v>11945</v>
      </c>
      <c r="L269" s="32" t="s">
        <v>675</v>
      </c>
      <c r="M269" s="31">
        <f>12500</f>
        <v>12500</v>
      </c>
      <c r="N269" s="32" t="s">
        <v>676</v>
      </c>
      <c r="O269" s="31">
        <f>11710</f>
        <v>11710</v>
      </c>
      <c r="P269" s="32" t="s">
        <v>678</v>
      </c>
      <c r="Q269" s="31">
        <f>12300</f>
        <v>12300</v>
      </c>
      <c r="R269" s="32" t="s">
        <v>681</v>
      </c>
      <c r="S269" s="33">
        <f>12139.21</f>
        <v>12139.21</v>
      </c>
      <c r="T269" s="30">
        <f>746</f>
        <v>746</v>
      </c>
      <c r="U269" s="30" t="str">
        <f>"－"</f>
        <v>－</v>
      </c>
      <c r="V269" s="30">
        <f>9083370</f>
        <v>9083370</v>
      </c>
      <c r="W269" s="30" t="str">
        <f>"－"</f>
        <v>－</v>
      </c>
      <c r="X269" s="34">
        <f>19</f>
        <v>19</v>
      </c>
    </row>
    <row r="270" spans="1:24">
      <c r="A270" s="25" t="s">
        <v>1078</v>
      </c>
      <c r="B270" s="25" t="s">
        <v>598</v>
      </c>
      <c r="C270" s="25" t="s">
        <v>599</v>
      </c>
      <c r="D270" s="25" t="s">
        <v>600</v>
      </c>
      <c r="E270" s="26" t="s">
        <v>43</v>
      </c>
      <c r="F270" s="27" t="s">
        <v>43</v>
      </c>
      <c r="G270" s="28" t="s">
        <v>43</v>
      </c>
      <c r="H270" s="29"/>
      <c r="I270" s="29" t="s">
        <v>44</v>
      </c>
      <c r="J270" s="30">
        <v>1</v>
      </c>
      <c r="K270" s="31">
        <f>1944</f>
        <v>1944</v>
      </c>
      <c r="L270" s="32" t="s">
        <v>675</v>
      </c>
      <c r="M270" s="31">
        <f>1994</f>
        <v>1994</v>
      </c>
      <c r="N270" s="32" t="s">
        <v>778</v>
      </c>
      <c r="O270" s="31">
        <f>1925</f>
        <v>1925</v>
      </c>
      <c r="P270" s="32" t="s">
        <v>675</v>
      </c>
      <c r="Q270" s="31">
        <f>1940</f>
        <v>1940</v>
      </c>
      <c r="R270" s="32" t="s">
        <v>681</v>
      </c>
      <c r="S270" s="33">
        <f>1955.26</f>
        <v>1955.26</v>
      </c>
      <c r="T270" s="30">
        <f>973168</f>
        <v>973168</v>
      </c>
      <c r="U270" s="30">
        <f>930936</f>
        <v>930936</v>
      </c>
      <c r="V270" s="30">
        <f>1894933419</f>
        <v>1894933419</v>
      </c>
      <c r="W270" s="30">
        <f>1812323206</f>
        <v>1812323206</v>
      </c>
      <c r="X270" s="34">
        <f>19</f>
        <v>19</v>
      </c>
    </row>
    <row r="271" spans="1:24">
      <c r="A271" s="25" t="s">
        <v>1078</v>
      </c>
      <c r="B271" s="25" t="s">
        <v>601</v>
      </c>
      <c r="C271" s="25" t="s">
        <v>602</v>
      </c>
      <c r="D271" s="25" t="s">
        <v>603</v>
      </c>
      <c r="E271" s="26" t="s">
        <v>43</v>
      </c>
      <c r="F271" s="27" t="s">
        <v>43</v>
      </c>
      <c r="G271" s="28" t="s">
        <v>43</v>
      </c>
      <c r="H271" s="29"/>
      <c r="I271" s="29" t="s">
        <v>44</v>
      </c>
      <c r="J271" s="30">
        <v>10</v>
      </c>
      <c r="K271" s="31">
        <f>1460.5</f>
        <v>1460.5</v>
      </c>
      <c r="L271" s="32" t="s">
        <v>675</v>
      </c>
      <c r="M271" s="31">
        <f>1555</f>
        <v>1555</v>
      </c>
      <c r="N271" s="32" t="s">
        <v>883</v>
      </c>
      <c r="O271" s="31">
        <f>1313</f>
        <v>1313</v>
      </c>
      <c r="P271" s="32" t="s">
        <v>778</v>
      </c>
      <c r="Q271" s="31">
        <f>1354.5</f>
        <v>1354.5</v>
      </c>
      <c r="R271" s="32" t="s">
        <v>681</v>
      </c>
      <c r="S271" s="33">
        <f>1389.64</f>
        <v>1389.64</v>
      </c>
      <c r="T271" s="30">
        <f>4110</f>
        <v>4110</v>
      </c>
      <c r="U271" s="30" t="str">
        <f>"－"</f>
        <v>－</v>
      </c>
      <c r="V271" s="30">
        <f>5789975</f>
        <v>5789975</v>
      </c>
      <c r="W271" s="30" t="str">
        <f>"－"</f>
        <v>－</v>
      </c>
      <c r="X271" s="34">
        <f>18</f>
        <v>18</v>
      </c>
    </row>
    <row r="272" spans="1:24">
      <c r="A272" s="25" t="s">
        <v>1078</v>
      </c>
      <c r="B272" s="25" t="s">
        <v>604</v>
      </c>
      <c r="C272" s="25" t="s">
        <v>685</v>
      </c>
      <c r="D272" s="25" t="s">
        <v>686</v>
      </c>
      <c r="E272" s="26" t="s">
        <v>43</v>
      </c>
      <c r="F272" s="27" t="s">
        <v>43</v>
      </c>
      <c r="G272" s="28" t="s">
        <v>43</v>
      </c>
      <c r="H272" s="29"/>
      <c r="I272" s="29" t="s">
        <v>44</v>
      </c>
      <c r="J272" s="30">
        <v>10</v>
      </c>
      <c r="K272" s="31">
        <f>823.9</f>
        <v>823.9</v>
      </c>
      <c r="L272" s="32" t="s">
        <v>675</v>
      </c>
      <c r="M272" s="31">
        <f>830</f>
        <v>830</v>
      </c>
      <c r="N272" s="32" t="s">
        <v>875</v>
      </c>
      <c r="O272" s="31">
        <f>816</f>
        <v>816</v>
      </c>
      <c r="P272" s="32" t="s">
        <v>679</v>
      </c>
      <c r="Q272" s="31">
        <f>822.4</f>
        <v>822.4</v>
      </c>
      <c r="R272" s="32" t="s">
        <v>681</v>
      </c>
      <c r="S272" s="33">
        <f>820.92</f>
        <v>820.92</v>
      </c>
      <c r="T272" s="30">
        <f>738160</f>
        <v>738160</v>
      </c>
      <c r="U272" s="30">
        <f>333930</f>
        <v>333930</v>
      </c>
      <c r="V272" s="30">
        <f>606024115</f>
        <v>606024115</v>
      </c>
      <c r="W272" s="30">
        <f>274129792</f>
        <v>274129792</v>
      </c>
      <c r="X272" s="34">
        <f>19</f>
        <v>19</v>
      </c>
    </row>
    <row r="273" spans="1:24">
      <c r="A273" s="25" t="s">
        <v>1078</v>
      </c>
      <c r="B273" s="25" t="s">
        <v>605</v>
      </c>
      <c r="C273" s="25" t="s">
        <v>606</v>
      </c>
      <c r="D273" s="25" t="s">
        <v>607</v>
      </c>
      <c r="E273" s="26" t="s">
        <v>43</v>
      </c>
      <c r="F273" s="27" t="s">
        <v>43</v>
      </c>
      <c r="G273" s="28" t="s">
        <v>43</v>
      </c>
      <c r="H273" s="29"/>
      <c r="I273" s="29" t="s">
        <v>44</v>
      </c>
      <c r="J273" s="30">
        <v>10</v>
      </c>
      <c r="K273" s="31">
        <f>1865</f>
        <v>1865</v>
      </c>
      <c r="L273" s="32" t="s">
        <v>675</v>
      </c>
      <c r="M273" s="31">
        <f>1884.5</f>
        <v>1884.5</v>
      </c>
      <c r="N273" s="32" t="s">
        <v>778</v>
      </c>
      <c r="O273" s="31">
        <f>1839.5</f>
        <v>1839.5</v>
      </c>
      <c r="P273" s="32" t="s">
        <v>678</v>
      </c>
      <c r="Q273" s="31">
        <f>1845.5</f>
        <v>1845.5</v>
      </c>
      <c r="R273" s="32" t="s">
        <v>681</v>
      </c>
      <c r="S273" s="33">
        <f>1861.71</f>
        <v>1861.71</v>
      </c>
      <c r="T273" s="30">
        <f>128310</f>
        <v>128310</v>
      </c>
      <c r="U273" s="30" t="str">
        <f>"－"</f>
        <v>－</v>
      </c>
      <c r="V273" s="30">
        <f>239080170</f>
        <v>239080170</v>
      </c>
      <c r="W273" s="30" t="str">
        <f>"－"</f>
        <v>－</v>
      </c>
      <c r="X273" s="34">
        <f>19</f>
        <v>19</v>
      </c>
    </row>
    <row r="274" spans="1:24">
      <c r="A274" s="25" t="s">
        <v>1078</v>
      </c>
      <c r="B274" s="25" t="s">
        <v>608</v>
      </c>
      <c r="C274" s="25" t="s">
        <v>609</v>
      </c>
      <c r="D274" s="25" t="s">
        <v>610</v>
      </c>
      <c r="E274" s="26" t="s">
        <v>43</v>
      </c>
      <c r="F274" s="27" t="s">
        <v>43</v>
      </c>
      <c r="G274" s="28" t="s">
        <v>43</v>
      </c>
      <c r="H274" s="29"/>
      <c r="I274" s="29" t="s">
        <v>44</v>
      </c>
      <c r="J274" s="30">
        <v>10</v>
      </c>
      <c r="K274" s="31">
        <f>1850</f>
        <v>1850</v>
      </c>
      <c r="L274" s="32" t="s">
        <v>675</v>
      </c>
      <c r="M274" s="31">
        <f>1881</f>
        <v>1881</v>
      </c>
      <c r="N274" s="32" t="s">
        <v>683</v>
      </c>
      <c r="O274" s="31">
        <f>1829</f>
        <v>1829</v>
      </c>
      <c r="P274" s="32" t="s">
        <v>675</v>
      </c>
      <c r="Q274" s="31">
        <f>1843.5</f>
        <v>1843.5</v>
      </c>
      <c r="R274" s="32" t="s">
        <v>681</v>
      </c>
      <c r="S274" s="33">
        <f>1856.03</f>
        <v>1856.03</v>
      </c>
      <c r="T274" s="30">
        <f>472070</f>
        <v>472070</v>
      </c>
      <c r="U274" s="30">
        <f>105210</f>
        <v>105210</v>
      </c>
      <c r="V274" s="30">
        <f>873544570</f>
        <v>873544570</v>
      </c>
      <c r="W274" s="30">
        <f>193208130</f>
        <v>193208130</v>
      </c>
      <c r="X274" s="34">
        <f>19</f>
        <v>19</v>
      </c>
    </row>
    <row r="275" spans="1:24">
      <c r="A275" s="25" t="s">
        <v>1078</v>
      </c>
      <c r="B275" s="25" t="s">
        <v>611</v>
      </c>
      <c r="C275" s="25" t="s">
        <v>612</v>
      </c>
      <c r="D275" s="25" t="s">
        <v>613</v>
      </c>
      <c r="E275" s="26" t="s">
        <v>43</v>
      </c>
      <c r="F275" s="27" t="s">
        <v>43</v>
      </c>
      <c r="G275" s="28" t="s">
        <v>43</v>
      </c>
      <c r="H275" s="29"/>
      <c r="I275" s="29" t="s">
        <v>44</v>
      </c>
      <c r="J275" s="30">
        <v>10</v>
      </c>
      <c r="K275" s="31">
        <f>2378</f>
        <v>2378</v>
      </c>
      <c r="L275" s="32" t="s">
        <v>675</v>
      </c>
      <c r="M275" s="31">
        <f>2591.5</f>
        <v>2591.5</v>
      </c>
      <c r="N275" s="32" t="s">
        <v>778</v>
      </c>
      <c r="O275" s="31">
        <f>2358.5</f>
        <v>2358.5</v>
      </c>
      <c r="P275" s="32" t="s">
        <v>675</v>
      </c>
      <c r="Q275" s="31">
        <f>2575.5</f>
        <v>2575.5</v>
      </c>
      <c r="R275" s="32" t="s">
        <v>681</v>
      </c>
      <c r="S275" s="33">
        <f>2518.97</f>
        <v>2518.9699999999998</v>
      </c>
      <c r="T275" s="30">
        <f>2737490</f>
        <v>2737490</v>
      </c>
      <c r="U275" s="30">
        <f>415600</f>
        <v>415600</v>
      </c>
      <c r="V275" s="30">
        <f>6870050460</f>
        <v>6870050460</v>
      </c>
      <c r="W275" s="30">
        <f>1047519800</f>
        <v>1047519800</v>
      </c>
      <c r="X275" s="34">
        <f>19</f>
        <v>19</v>
      </c>
    </row>
    <row r="276" spans="1:24">
      <c r="A276" s="25" t="s">
        <v>1078</v>
      </c>
      <c r="B276" s="25" t="s">
        <v>614</v>
      </c>
      <c r="C276" s="25" t="s">
        <v>615</v>
      </c>
      <c r="D276" s="25" t="s">
        <v>616</v>
      </c>
      <c r="E276" s="26" t="s">
        <v>43</v>
      </c>
      <c r="F276" s="27" t="s">
        <v>43</v>
      </c>
      <c r="G276" s="28" t="s">
        <v>43</v>
      </c>
      <c r="H276" s="29"/>
      <c r="I276" s="29" t="s">
        <v>44</v>
      </c>
      <c r="J276" s="30">
        <v>1</v>
      </c>
      <c r="K276" s="31">
        <f>19345</f>
        <v>19345</v>
      </c>
      <c r="L276" s="32" t="s">
        <v>675</v>
      </c>
      <c r="M276" s="31">
        <f>20865</f>
        <v>20865</v>
      </c>
      <c r="N276" s="32" t="s">
        <v>777</v>
      </c>
      <c r="O276" s="31">
        <f>19300</f>
        <v>19300</v>
      </c>
      <c r="P276" s="32" t="s">
        <v>675</v>
      </c>
      <c r="Q276" s="31">
        <f>20815</f>
        <v>20815</v>
      </c>
      <c r="R276" s="32" t="s">
        <v>681</v>
      </c>
      <c r="S276" s="33">
        <f>20238.95</f>
        <v>20238.95</v>
      </c>
      <c r="T276" s="30">
        <f>1027099</f>
        <v>1027099</v>
      </c>
      <c r="U276" s="30">
        <f>57444</f>
        <v>57444</v>
      </c>
      <c r="V276" s="30">
        <f>20721292054</f>
        <v>20721292054</v>
      </c>
      <c r="W276" s="30">
        <f>1172429264</f>
        <v>1172429264</v>
      </c>
      <c r="X276" s="34">
        <f>19</f>
        <v>19</v>
      </c>
    </row>
    <row r="277" spans="1:24">
      <c r="A277" s="25" t="s">
        <v>1078</v>
      </c>
      <c r="B277" s="25" t="s">
        <v>617</v>
      </c>
      <c r="C277" s="25" t="s">
        <v>618</v>
      </c>
      <c r="D277" s="25" t="s">
        <v>619</v>
      </c>
      <c r="E277" s="26" t="s">
        <v>43</v>
      </c>
      <c r="F277" s="27" t="s">
        <v>43</v>
      </c>
      <c r="G277" s="28" t="s">
        <v>43</v>
      </c>
      <c r="H277" s="29"/>
      <c r="I277" s="29" t="s">
        <v>44</v>
      </c>
      <c r="J277" s="30">
        <v>1</v>
      </c>
      <c r="K277" s="31">
        <f>17110</f>
        <v>17110</v>
      </c>
      <c r="L277" s="32" t="s">
        <v>675</v>
      </c>
      <c r="M277" s="31">
        <f>17910</f>
        <v>17910</v>
      </c>
      <c r="N277" s="32" t="s">
        <v>777</v>
      </c>
      <c r="O277" s="31">
        <f>16905</f>
        <v>16905</v>
      </c>
      <c r="P277" s="32" t="s">
        <v>675</v>
      </c>
      <c r="Q277" s="31">
        <f>17860</f>
        <v>17860</v>
      </c>
      <c r="R277" s="32" t="s">
        <v>681</v>
      </c>
      <c r="S277" s="33">
        <f>17478.42</f>
        <v>17478.419999999998</v>
      </c>
      <c r="T277" s="30">
        <f>402762</f>
        <v>402762</v>
      </c>
      <c r="U277" s="30">
        <f>1208</f>
        <v>1208</v>
      </c>
      <c r="V277" s="30">
        <f>7029246515</f>
        <v>7029246515</v>
      </c>
      <c r="W277" s="30">
        <f>21135955</f>
        <v>21135955</v>
      </c>
      <c r="X277" s="34">
        <f>19</f>
        <v>19</v>
      </c>
    </row>
    <row r="278" spans="1:24">
      <c r="A278" s="25" t="s">
        <v>1078</v>
      </c>
      <c r="B278" s="25" t="s">
        <v>620</v>
      </c>
      <c r="C278" s="25" t="s">
        <v>621</v>
      </c>
      <c r="D278" s="25" t="s">
        <v>622</v>
      </c>
      <c r="E278" s="26" t="s">
        <v>43</v>
      </c>
      <c r="F278" s="27" t="s">
        <v>43</v>
      </c>
      <c r="G278" s="28" t="s">
        <v>43</v>
      </c>
      <c r="H278" s="29"/>
      <c r="I278" s="29" t="s">
        <v>44</v>
      </c>
      <c r="J278" s="30">
        <v>1</v>
      </c>
      <c r="K278" s="31">
        <f>31700</f>
        <v>31700</v>
      </c>
      <c r="L278" s="32" t="s">
        <v>674</v>
      </c>
      <c r="M278" s="31">
        <f>33840</f>
        <v>33840</v>
      </c>
      <c r="N278" s="32" t="s">
        <v>778</v>
      </c>
      <c r="O278" s="31">
        <f>31700</f>
        <v>31700</v>
      </c>
      <c r="P278" s="32" t="s">
        <v>674</v>
      </c>
      <c r="Q278" s="31">
        <f>33610</f>
        <v>33610</v>
      </c>
      <c r="R278" s="32" t="s">
        <v>883</v>
      </c>
      <c r="S278" s="33">
        <f>33058.89</f>
        <v>33058.89</v>
      </c>
      <c r="T278" s="30">
        <f>73</f>
        <v>73</v>
      </c>
      <c r="U278" s="30" t="str">
        <f>"－"</f>
        <v>－</v>
      </c>
      <c r="V278" s="30">
        <f>2367490</f>
        <v>2367490</v>
      </c>
      <c r="W278" s="30" t="str">
        <f>"－"</f>
        <v>－</v>
      </c>
      <c r="X278" s="34">
        <f>9</f>
        <v>9</v>
      </c>
    </row>
    <row r="279" spans="1:24">
      <c r="A279" s="25" t="s">
        <v>1078</v>
      </c>
      <c r="B279" s="25" t="s">
        <v>623</v>
      </c>
      <c r="C279" s="25" t="s">
        <v>624</v>
      </c>
      <c r="D279" s="25" t="s">
        <v>625</v>
      </c>
      <c r="E279" s="26" t="s">
        <v>43</v>
      </c>
      <c r="F279" s="27" t="s">
        <v>43</v>
      </c>
      <c r="G279" s="28" t="s">
        <v>43</v>
      </c>
      <c r="H279" s="29"/>
      <c r="I279" s="29" t="s">
        <v>44</v>
      </c>
      <c r="J279" s="30">
        <v>1</v>
      </c>
      <c r="K279" s="31">
        <f>2458</f>
        <v>2458</v>
      </c>
      <c r="L279" s="32" t="s">
        <v>675</v>
      </c>
      <c r="M279" s="31">
        <f>2505</f>
        <v>2505</v>
      </c>
      <c r="N279" s="32" t="s">
        <v>876</v>
      </c>
      <c r="O279" s="31">
        <f>2426</f>
        <v>2426</v>
      </c>
      <c r="P279" s="32" t="s">
        <v>681</v>
      </c>
      <c r="Q279" s="31">
        <f>2432</f>
        <v>2432</v>
      </c>
      <c r="R279" s="32" t="s">
        <v>681</v>
      </c>
      <c r="S279" s="33">
        <f>2460.95</f>
        <v>2460.9499999999998</v>
      </c>
      <c r="T279" s="30">
        <f>3548836</f>
        <v>3548836</v>
      </c>
      <c r="U279" s="30">
        <f>3224347</f>
        <v>3224347</v>
      </c>
      <c r="V279" s="30">
        <f>8774618713</f>
        <v>8774618713</v>
      </c>
      <c r="W279" s="30">
        <f>7975792223</f>
        <v>7975792223</v>
      </c>
      <c r="X279" s="34">
        <f>19</f>
        <v>19</v>
      </c>
    </row>
    <row r="280" spans="1:24">
      <c r="A280" s="25" t="s">
        <v>1078</v>
      </c>
      <c r="B280" s="25" t="s">
        <v>626</v>
      </c>
      <c r="C280" s="25" t="s">
        <v>627</v>
      </c>
      <c r="D280" s="25" t="s">
        <v>628</v>
      </c>
      <c r="E280" s="26" t="s">
        <v>43</v>
      </c>
      <c r="F280" s="27" t="s">
        <v>43</v>
      </c>
      <c r="G280" s="28" t="s">
        <v>43</v>
      </c>
      <c r="H280" s="29"/>
      <c r="I280" s="29" t="s">
        <v>44</v>
      </c>
      <c r="J280" s="30">
        <v>10</v>
      </c>
      <c r="K280" s="31">
        <f>2945.5</f>
        <v>2945.5</v>
      </c>
      <c r="L280" s="32" t="s">
        <v>675</v>
      </c>
      <c r="M280" s="31">
        <f>3014</f>
        <v>3014</v>
      </c>
      <c r="N280" s="32" t="s">
        <v>681</v>
      </c>
      <c r="O280" s="31">
        <f>2917</f>
        <v>2917</v>
      </c>
      <c r="P280" s="32" t="s">
        <v>678</v>
      </c>
      <c r="Q280" s="31">
        <f>3014</f>
        <v>3014</v>
      </c>
      <c r="R280" s="32" t="s">
        <v>681</v>
      </c>
      <c r="S280" s="33">
        <f>2958.68</f>
        <v>2958.68</v>
      </c>
      <c r="T280" s="30">
        <f>2077900</f>
        <v>2077900</v>
      </c>
      <c r="U280" s="30">
        <f>1037000</f>
        <v>1037000</v>
      </c>
      <c r="V280" s="30">
        <f>6138133160</f>
        <v>6138133160</v>
      </c>
      <c r="W280" s="30">
        <f>3063021660</f>
        <v>3063021660</v>
      </c>
      <c r="X280" s="34">
        <f>19</f>
        <v>19</v>
      </c>
    </row>
    <row r="281" spans="1:24">
      <c r="A281" s="25" t="s">
        <v>1078</v>
      </c>
      <c r="B281" s="25" t="s">
        <v>629</v>
      </c>
      <c r="C281" s="25" t="s">
        <v>630</v>
      </c>
      <c r="D281" s="25" t="s">
        <v>631</v>
      </c>
      <c r="E281" s="26" t="s">
        <v>43</v>
      </c>
      <c r="F281" s="27" t="s">
        <v>43</v>
      </c>
      <c r="G281" s="28" t="s">
        <v>43</v>
      </c>
      <c r="H281" s="29"/>
      <c r="I281" s="29" t="s">
        <v>44</v>
      </c>
      <c r="J281" s="30">
        <v>10</v>
      </c>
      <c r="K281" s="31">
        <f>279.7</f>
        <v>279.7</v>
      </c>
      <c r="L281" s="32" t="s">
        <v>675</v>
      </c>
      <c r="M281" s="31">
        <f>292.6</f>
        <v>292.60000000000002</v>
      </c>
      <c r="N281" s="32" t="s">
        <v>777</v>
      </c>
      <c r="O281" s="31">
        <f>278.7</f>
        <v>278.7</v>
      </c>
      <c r="P281" s="32" t="s">
        <v>674</v>
      </c>
      <c r="Q281" s="31">
        <f>291</f>
        <v>291</v>
      </c>
      <c r="R281" s="32" t="s">
        <v>681</v>
      </c>
      <c r="S281" s="33">
        <f>285.37</f>
        <v>285.37</v>
      </c>
      <c r="T281" s="30">
        <f>46808280</f>
        <v>46808280</v>
      </c>
      <c r="U281" s="30">
        <f>17618650</f>
        <v>17618650</v>
      </c>
      <c r="V281" s="30">
        <f>13375456838</f>
        <v>13375456838</v>
      </c>
      <c r="W281" s="30">
        <f>5046816128</f>
        <v>5046816128</v>
      </c>
      <c r="X281" s="34">
        <f>19</f>
        <v>19</v>
      </c>
    </row>
    <row r="282" spans="1:24">
      <c r="A282" s="25" t="s">
        <v>1078</v>
      </c>
      <c r="B282" s="25" t="s">
        <v>632</v>
      </c>
      <c r="C282" s="25" t="s">
        <v>633</v>
      </c>
      <c r="D282" s="25" t="s">
        <v>634</v>
      </c>
      <c r="E282" s="26" t="s">
        <v>43</v>
      </c>
      <c r="F282" s="27" t="s">
        <v>43</v>
      </c>
      <c r="G282" s="28" t="s">
        <v>43</v>
      </c>
      <c r="H282" s="29"/>
      <c r="I282" s="29" t="s">
        <v>44</v>
      </c>
      <c r="J282" s="30">
        <v>1</v>
      </c>
      <c r="K282" s="31">
        <f>2574</f>
        <v>2574</v>
      </c>
      <c r="L282" s="32" t="s">
        <v>675</v>
      </c>
      <c r="M282" s="31">
        <f>2819</f>
        <v>2819</v>
      </c>
      <c r="N282" s="32" t="s">
        <v>681</v>
      </c>
      <c r="O282" s="31">
        <f>2574</f>
        <v>2574</v>
      </c>
      <c r="P282" s="32" t="s">
        <v>675</v>
      </c>
      <c r="Q282" s="31">
        <f>2818</f>
        <v>2818</v>
      </c>
      <c r="R282" s="32" t="s">
        <v>681</v>
      </c>
      <c r="S282" s="33">
        <f>2749.79</f>
        <v>2749.79</v>
      </c>
      <c r="T282" s="30">
        <f>1137702</f>
        <v>1137702</v>
      </c>
      <c r="U282" s="30">
        <f>129186</f>
        <v>129186</v>
      </c>
      <c r="V282" s="30">
        <f>3107448469</f>
        <v>3107448469</v>
      </c>
      <c r="W282" s="30">
        <f>351139837</f>
        <v>351139837</v>
      </c>
      <c r="X282" s="34">
        <f>19</f>
        <v>19</v>
      </c>
    </row>
    <row r="283" spans="1:24">
      <c r="A283" s="25" t="s">
        <v>1078</v>
      </c>
      <c r="B283" s="25" t="s">
        <v>635</v>
      </c>
      <c r="C283" s="25" t="s">
        <v>636</v>
      </c>
      <c r="D283" s="25" t="s">
        <v>637</v>
      </c>
      <c r="E283" s="26" t="s">
        <v>43</v>
      </c>
      <c r="F283" s="27" t="s">
        <v>43</v>
      </c>
      <c r="G283" s="28" t="s">
        <v>43</v>
      </c>
      <c r="H283" s="29"/>
      <c r="I283" s="29" t="s">
        <v>44</v>
      </c>
      <c r="J283" s="30">
        <v>1</v>
      </c>
      <c r="K283" s="31">
        <f>922</f>
        <v>922</v>
      </c>
      <c r="L283" s="32" t="s">
        <v>675</v>
      </c>
      <c r="M283" s="31">
        <f>947</f>
        <v>947</v>
      </c>
      <c r="N283" s="32" t="s">
        <v>760</v>
      </c>
      <c r="O283" s="31">
        <f>904</f>
        <v>904</v>
      </c>
      <c r="P283" s="32" t="s">
        <v>681</v>
      </c>
      <c r="Q283" s="31">
        <f>908</f>
        <v>908</v>
      </c>
      <c r="R283" s="32" t="s">
        <v>681</v>
      </c>
      <c r="S283" s="33">
        <f>926.53</f>
        <v>926.53</v>
      </c>
      <c r="T283" s="30">
        <f>975541</f>
        <v>975541</v>
      </c>
      <c r="U283" s="30">
        <f>200900</f>
        <v>200900</v>
      </c>
      <c r="V283" s="30">
        <f>901830506</f>
        <v>901830506</v>
      </c>
      <c r="W283" s="30">
        <f>184509246</f>
        <v>184509246</v>
      </c>
      <c r="X283" s="34">
        <f>19</f>
        <v>19</v>
      </c>
    </row>
    <row r="284" spans="1:24">
      <c r="A284" s="25" t="s">
        <v>1078</v>
      </c>
      <c r="B284" s="25" t="s">
        <v>638</v>
      </c>
      <c r="C284" s="25" t="s">
        <v>639</v>
      </c>
      <c r="D284" s="25" t="s">
        <v>640</v>
      </c>
      <c r="E284" s="26" t="s">
        <v>43</v>
      </c>
      <c r="F284" s="27" t="s">
        <v>43</v>
      </c>
      <c r="G284" s="28" t="s">
        <v>43</v>
      </c>
      <c r="H284" s="29"/>
      <c r="I284" s="29" t="s">
        <v>44</v>
      </c>
      <c r="J284" s="30">
        <v>10</v>
      </c>
      <c r="K284" s="31">
        <f>1018.5</f>
        <v>1018.5</v>
      </c>
      <c r="L284" s="32" t="s">
        <v>675</v>
      </c>
      <c r="M284" s="31">
        <f>1059.5</f>
        <v>1059.5</v>
      </c>
      <c r="N284" s="32" t="s">
        <v>875</v>
      </c>
      <c r="O284" s="31">
        <f>1006.5</f>
        <v>1006.5</v>
      </c>
      <c r="P284" s="32" t="s">
        <v>675</v>
      </c>
      <c r="Q284" s="31">
        <f>1013.5</f>
        <v>1013.5</v>
      </c>
      <c r="R284" s="32" t="s">
        <v>681</v>
      </c>
      <c r="S284" s="33">
        <f>1021.58</f>
        <v>1021.58</v>
      </c>
      <c r="T284" s="30">
        <f>95880</f>
        <v>95880</v>
      </c>
      <c r="U284" s="30">
        <f>68950</f>
        <v>68950</v>
      </c>
      <c r="V284" s="30">
        <f>97923356</f>
        <v>97923356</v>
      </c>
      <c r="W284" s="30">
        <f>70457991</f>
        <v>70457991</v>
      </c>
      <c r="X284" s="34">
        <f>19</f>
        <v>19</v>
      </c>
    </row>
    <row r="285" spans="1:24">
      <c r="A285" s="25" t="s">
        <v>1078</v>
      </c>
      <c r="B285" s="25" t="s">
        <v>641</v>
      </c>
      <c r="C285" s="25" t="s">
        <v>642</v>
      </c>
      <c r="D285" s="25" t="s">
        <v>643</v>
      </c>
      <c r="E285" s="26" t="s">
        <v>43</v>
      </c>
      <c r="F285" s="27" t="s">
        <v>43</v>
      </c>
      <c r="G285" s="28" t="s">
        <v>43</v>
      </c>
      <c r="H285" s="29"/>
      <c r="I285" s="29" t="s">
        <v>44</v>
      </c>
      <c r="J285" s="30">
        <v>10</v>
      </c>
      <c r="K285" s="31">
        <f>314.9</f>
        <v>314.89999999999998</v>
      </c>
      <c r="L285" s="32" t="s">
        <v>675</v>
      </c>
      <c r="M285" s="31">
        <f>358.8</f>
        <v>358.8</v>
      </c>
      <c r="N285" s="32" t="s">
        <v>680</v>
      </c>
      <c r="O285" s="31">
        <f>314.9</f>
        <v>314.89999999999998</v>
      </c>
      <c r="P285" s="32" t="s">
        <v>675</v>
      </c>
      <c r="Q285" s="31">
        <f>342.7</f>
        <v>342.7</v>
      </c>
      <c r="R285" s="32" t="s">
        <v>883</v>
      </c>
      <c r="S285" s="33">
        <f>334.84</f>
        <v>334.84</v>
      </c>
      <c r="T285" s="30">
        <f>14460</f>
        <v>14460</v>
      </c>
      <c r="U285" s="30" t="str">
        <f>"－"</f>
        <v>－</v>
      </c>
      <c r="V285" s="30">
        <f>4888779</f>
        <v>4888779</v>
      </c>
      <c r="W285" s="30" t="str">
        <f>"－"</f>
        <v>－</v>
      </c>
      <c r="X285" s="34">
        <f>16</f>
        <v>16</v>
      </c>
    </row>
    <row r="286" spans="1:24">
      <c r="A286" s="25" t="s">
        <v>1078</v>
      </c>
      <c r="B286" s="25" t="s">
        <v>644</v>
      </c>
      <c r="C286" s="25" t="s">
        <v>645</v>
      </c>
      <c r="D286" s="25" t="s">
        <v>646</v>
      </c>
      <c r="E286" s="26" t="s">
        <v>43</v>
      </c>
      <c r="F286" s="27" t="s">
        <v>43</v>
      </c>
      <c r="G286" s="28" t="s">
        <v>43</v>
      </c>
      <c r="H286" s="29"/>
      <c r="I286" s="29" t="s">
        <v>44</v>
      </c>
      <c r="J286" s="30">
        <v>10</v>
      </c>
      <c r="K286" s="31">
        <f>4024</f>
        <v>4024</v>
      </c>
      <c r="L286" s="32" t="s">
        <v>675</v>
      </c>
      <c r="M286" s="31">
        <f>4461</f>
        <v>4461</v>
      </c>
      <c r="N286" s="32" t="s">
        <v>777</v>
      </c>
      <c r="O286" s="31">
        <f>4019</f>
        <v>4019</v>
      </c>
      <c r="P286" s="32" t="s">
        <v>675</v>
      </c>
      <c r="Q286" s="31">
        <f>4400</f>
        <v>4400</v>
      </c>
      <c r="R286" s="32" t="s">
        <v>681</v>
      </c>
      <c r="S286" s="33">
        <f>4286.11</f>
        <v>4286.1099999999997</v>
      </c>
      <c r="T286" s="30">
        <f>2206100</f>
        <v>2206100</v>
      </c>
      <c r="U286" s="30">
        <f>300</f>
        <v>300</v>
      </c>
      <c r="V286" s="30">
        <f>9455403950</f>
        <v>9455403950</v>
      </c>
      <c r="W286" s="30">
        <f>1248860</f>
        <v>1248860</v>
      </c>
      <c r="X286" s="34">
        <f>19</f>
        <v>19</v>
      </c>
    </row>
    <row r="287" spans="1:24">
      <c r="A287" s="25" t="s">
        <v>1078</v>
      </c>
      <c r="B287" s="25" t="s">
        <v>647</v>
      </c>
      <c r="C287" s="25" t="s">
        <v>648</v>
      </c>
      <c r="D287" s="25" t="s">
        <v>649</v>
      </c>
      <c r="E287" s="26" t="s">
        <v>43</v>
      </c>
      <c r="F287" s="27" t="s">
        <v>43</v>
      </c>
      <c r="G287" s="28" t="s">
        <v>43</v>
      </c>
      <c r="H287" s="29"/>
      <c r="I287" s="29" t="s">
        <v>44</v>
      </c>
      <c r="J287" s="30">
        <v>10</v>
      </c>
      <c r="K287" s="31">
        <f>2654</f>
        <v>2654</v>
      </c>
      <c r="L287" s="32" t="s">
        <v>675</v>
      </c>
      <c r="M287" s="31">
        <f>2859.5</f>
        <v>2859.5</v>
      </c>
      <c r="N287" s="32" t="s">
        <v>777</v>
      </c>
      <c r="O287" s="31">
        <f>2643</f>
        <v>2643</v>
      </c>
      <c r="P287" s="32" t="s">
        <v>674</v>
      </c>
      <c r="Q287" s="31">
        <f>2812</f>
        <v>2812</v>
      </c>
      <c r="R287" s="32" t="s">
        <v>681</v>
      </c>
      <c r="S287" s="33">
        <f>2762.13</f>
        <v>2762.13</v>
      </c>
      <c r="T287" s="30">
        <f>2392150</f>
        <v>2392150</v>
      </c>
      <c r="U287" s="30">
        <f>35010</f>
        <v>35010</v>
      </c>
      <c r="V287" s="30">
        <f>6596326545</f>
        <v>6596326545</v>
      </c>
      <c r="W287" s="30">
        <f>100046565</f>
        <v>100046565</v>
      </c>
      <c r="X287" s="34">
        <f>19</f>
        <v>19</v>
      </c>
    </row>
    <row r="288" spans="1:24">
      <c r="A288" s="25" t="s">
        <v>1078</v>
      </c>
      <c r="B288" s="25" t="s">
        <v>650</v>
      </c>
      <c r="C288" s="25" t="s">
        <v>651</v>
      </c>
      <c r="D288" s="25" t="s">
        <v>652</v>
      </c>
      <c r="E288" s="26" t="s">
        <v>43</v>
      </c>
      <c r="F288" s="27" t="s">
        <v>43</v>
      </c>
      <c r="G288" s="28" t="s">
        <v>43</v>
      </c>
      <c r="H288" s="29"/>
      <c r="I288" s="29" t="s">
        <v>44</v>
      </c>
      <c r="J288" s="30">
        <v>10</v>
      </c>
      <c r="K288" s="31">
        <f>322.5</f>
        <v>322.5</v>
      </c>
      <c r="L288" s="32" t="s">
        <v>675</v>
      </c>
      <c r="M288" s="31">
        <f>335</f>
        <v>335</v>
      </c>
      <c r="N288" s="32" t="s">
        <v>680</v>
      </c>
      <c r="O288" s="31">
        <f>322.5</f>
        <v>322.5</v>
      </c>
      <c r="P288" s="32" t="s">
        <v>675</v>
      </c>
      <c r="Q288" s="31">
        <f>333.6</f>
        <v>333.6</v>
      </c>
      <c r="R288" s="32" t="s">
        <v>681</v>
      </c>
      <c r="S288" s="33">
        <f>331.06</f>
        <v>331.06</v>
      </c>
      <c r="T288" s="30">
        <f>45766790</f>
        <v>45766790</v>
      </c>
      <c r="U288" s="30">
        <f>32995990</f>
        <v>32995990</v>
      </c>
      <c r="V288" s="30">
        <f>15058792501</f>
        <v>15058792501</v>
      </c>
      <c r="W288" s="30">
        <f>10839674155</f>
        <v>10839674155</v>
      </c>
      <c r="X288" s="34">
        <f>19</f>
        <v>19</v>
      </c>
    </row>
    <row r="289" spans="1:24">
      <c r="A289" s="25" t="s">
        <v>1078</v>
      </c>
      <c r="B289" s="25" t="s">
        <v>653</v>
      </c>
      <c r="C289" s="25" t="s">
        <v>654</v>
      </c>
      <c r="D289" s="25" t="s">
        <v>655</v>
      </c>
      <c r="E289" s="26" t="s">
        <v>43</v>
      </c>
      <c r="F289" s="27" t="s">
        <v>43</v>
      </c>
      <c r="G289" s="28" t="s">
        <v>43</v>
      </c>
      <c r="H289" s="29"/>
      <c r="I289" s="29" t="s">
        <v>44</v>
      </c>
      <c r="J289" s="30">
        <v>1</v>
      </c>
      <c r="K289" s="31">
        <f>1355</f>
        <v>1355</v>
      </c>
      <c r="L289" s="32" t="s">
        <v>675</v>
      </c>
      <c r="M289" s="31">
        <f>1358</f>
        <v>1358</v>
      </c>
      <c r="N289" s="32" t="s">
        <v>675</v>
      </c>
      <c r="O289" s="31">
        <f>1261</f>
        <v>1261</v>
      </c>
      <c r="P289" s="32" t="s">
        <v>679</v>
      </c>
      <c r="Q289" s="31">
        <f>1303</f>
        <v>1303</v>
      </c>
      <c r="R289" s="32" t="s">
        <v>681</v>
      </c>
      <c r="S289" s="33">
        <f>1299.53</f>
        <v>1299.53</v>
      </c>
      <c r="T289" s="30">
        <f>31568685</f>
        <v>31568685</v>
      </c>
      <c r="U289" s="30">
        <f>5566</f>
        <v>5566</v>
      </c>
      <c r="V289" s="30">
        <f>41092714049</f>
        <v>41092714049</v>
      </c>
      <c r="W289" s="30">
        <f>7335135</f>
        <v>7335135</v>
      </c>
      <c r="X289" s="34">
        <f>19</f>
        <v>19</v>
      </c>
    </row>
    <row r="290" spans="1:24">
      <c r="A290" s="25" t="s">
        <v>1078</v>
      </c>
      <c r="B290" s="25" t="s">
        <v>656</v>
      </c>
      <c r="C290" s="25" t="s">
        <v>657</v>
      </c>
      <c r="D290" s="25" t="s">
        <v>658</v>
      </c>
      <c r="E290" s="26" t="s">
        <v>43</v>
      </c>
      <c r="F290" s="27" t="s">
        <v>43</v>
      </c>
      <c r="G290" s="28" t="s">
        <v>43</v>
      </c>
      <c r="H290" s="29"/>
      <c r="I290" s="29" t="s">
        <v>44</v>
      </c>
      <c r="J290" s="30">
        <v>1</v>
      </c>
      <c r="K290" s="31">
        <f>1820</f>
        <v>1820</v>
      </c>
      <c r="L290" s="32" t="s">
        <v>675</v>
      </c>
      <c r="M290" s="31">
        <f>1820</f>
        <v>1820</v>
      </c>
      <c r="N290" s="32" t="s">
        <v>675</v>
      </c>
      <c r="O290" s="31">
        <f>1748</f>
        <v>1748</v>
      </c>
      <c r="P290" s="32" t="s">
        <v>759</v>
      </c>
      <c r="Q290" s="31">
        <f>1775</f>
        <v>1775</v>
      </c>
      <c r="R290" s="32" t="s">
        <v>681</v>
      </c>
      <c r="S290" s="33">
        <f>1769.74</f>
        <v>1769.74</v>
      </c>
      <c r="T290" s="30">
        <f>85705</f>
        <v>85705</v>
      </c>
      <c r="U290" s="30">
        <f>4</f>
        <v>4</v>
      </c>
      <c r="V290" s="30">
        <f>152262946</f>
        <v>152262946</v>
      </c>
      <c r="W290" s="30">
        <f>7133</f>
        <v>7133</v>
      </c>
      <c r="X290" s="34">
        <f>19</f>
        <v>19</v>
      </c>
    </row>
    <row r="291" spans="1:24">
      <c r="A291" s="25" t="s">
        <v>1078</v>
      </c>
      <c r="B291" s="25" t="s">
        <v>659</v>
      </c>
      <c r="C291" s="25" t="s">
        <v>660</v>
      </c>
      <c r="D291" s="25" t="s">
        <v>661</v>
      </c>
      <c r="E291" s="26" t="s">
        <v>43</v>
      </c>
      <c r="F291" s="27" t="s">
        <v>43</v>
      </c>
      <c r="G291" s="28" t="s">
        <v>43</v>
      </c>
      <c r="H291" s="29"/>
      <c r="I291" s="29" t="s">
        <v>44</v>
      </c>
      <c r="J291" s="30">
        <v>1</v>
      </c>
      <c r="K291" s="31">
        <f>2136</f>
        <v>2136</v>
      </c>
      <c r="L291" s="32" t="s">
        <v>675</v>
      </c>
      <c r="M291" s="31">
        <f>2140</f>
        <v>2140</v>
      </c>
      <c r="N291" s="32" t="s">
        <v>675</v>
      </c>
      <c r="O291" s="31">
        <f>2107</f>
        <v>2107</v>
      </c>
      <c r="P291" s="32" t="s">
        <v>678</v>
      </c>
      <c r="Q291" s="31">
        <f>2129</f>
        <v>2129</v>
      </c>
      <c r="R291" s="32" t="s">
        <v>681</v>
      </c>
      <c r="S291" s="33">
        <f>2122.33</f>
        <v>2122.33</v>
      </c>
      <c r="T291" s="30">
        <f>1570268</f>
        <v>1570268</v>
      </c>
      <c r="U291" s="30">
        <f>1565000</f>
        <v>1565000</v>
      </c>
      <c r="V291" s="30">
        <f>3333118356</f>
        <v>3333118356</v>
      </c>
      <c r="W291" s="30">
        <f>3321937400</f>
        <v>3321937400</v>
      </c>
      <c r="X291" s="34">
        <f>18</f>
        <v>18</v>
      </c>
    </row>
    <row r="292" spans="1:24">
      <c r="A292" s="25" t="s">
        <v>1078</v>
      </c>
      <c r="B292" s="25" t="s">
        <v>662</v>
      </c>
      <c r="C292" s="25" t="s">
        <v>663</v>
      </c>
      <c r="D292" s="25" t="s">
        <v>948</v>
      </c>
      <c r="E292" s="26" t="s">
        <v>43</v>
      </c>
      <c r="F292" s="27" t="s">
        <v>43</v>
      </c>
      <c r="G292" s="28" t="s">
        <v>43</v>
      </c>
      <c r="H292" s="29"/>
      <c r="I292" s="29" t="s">
        <v>44</v>
      </c>
      <c r="J292" s="30">
        <v>1</v>
      </c>
      <c r="K292" s="31">
        <f>3320</f>
        <v>3320</v>
      </c>
      <c r="L292" s="32" t="s">
        <v>675</v>
      </c>
      <c r="M292" s="31">
        <f>3715</f>
        <v>3715</v>
      </c>
      <c r="N292" s="32" t="s">
        <v>778</v>
      </c>
      <c r="O292" s="31">
        <f>3280</f>
        <v>3280</v>
      </c>
      <c r="P292" s="32" t="s">
        <v>675</v>
      </c>
      <c r="Q292" s="31">
        <f>3640</f>
        <v>3640</v>
      </c>
      <c r="R292" s="32" t="s">
        <v>681</v>
      </c>
      <c r="S292" s="33">
        <f>3558.68</f>
        <v>3558.68</v>
      </c>
      <c r="T292" s="30">
        <f>875655</f>
        <v>875655</v>
      </c>
      <c r="U292" s="30">
        <f>482070</f>
        <v>482070</v>
      </c>
      <c r="V292" s="30">
        <f>3107016358</f>
        <v>3107016358</v>
      </c>
      <c r="W292" s="30">
        <f>1736807738</f>
        <v>1736807738</v>
      </c>
      <c r="X292" s="34">
        <f>19</f>
        <v>19</v>
      </c>
    </row>
    <row r="293" spans="1:24">
      <c r="A293" s="25" t="s">
        <v>1078</v>
      </c>
      <c r="B293" s="25" t="s">
        <v>664</v>
      </c>
      <c r="C293" s="25" t="s">
        <v>665</v>
      </c>
      <c r="D293" s="25" t="s">
        <v>949</v>
      </c>
      <c r="E293" s="26" t="s">
        <v>43</v>
      </c>
      <c r="F293" s="27" t="s">
        <v>43</v>
      </c>
      <c r="G293" s="28" t="s">
        <v>43</v>
      </c>
      <c r="H293" s="29"/>
      <c r="I293" s="29" t="s">
        <v>44</v>
      </c>
      <c r="J293" s="30">
        <v>1</v>
      </c>
      <c r="K293" s="31">
        <f>2363</f>
        <v>2363</v>
      </c>
      <c r="L293" s="32" t="s">
        <v>675</v>
      </c>
      <c r="M293" s="31">
        <f>2567</f>
        <v>2567</v>
      </c>
      <c r="N293" s="32" t="s">
        <v>778</v>
      </c>
      <c r="O293" s="31">
        <f>2342</f>
        <v>2342</v>
      </c>
      <c r="P293" s="32" t="s">
        <v>675</v>
      </c>
      <c r="Q293" s="31">
        <f>2554</f>
        <v>2554</v>
      </c>
      <c r="R293" s="32" t="s">
        <v>681</v>
      </c>
      <c r="S293" s="33">
        <f>2498</f>
        <v>2498</v>
      </c>
      <c r="T293" s="30">
        <f>2252235</f>
        <v>2252235</v>
      </c>
      <c r="U293" s="30">
        <f>1303000</f>
        <v>1303000</v>
      </c>
      <c r="V293" s="30">
        <f>5556988413</f>
        <v>5556988413</v>
      </c>
      <c r="W293" s="30">
        <f>3221769375</f>
        <v>3221769375</v>
      </c>
      <c r="X293" s="34">
        <f>19</f>
        <v>19</v>
      </c>
    </row>
    <row r="294" spans="1:24">
      <c r="A294" s="25" t="s">
        <v>1078</v>
      </c>
      <c r="B294" s="25" t="s">
        <v>666</v>
      </c>
      <c r="C294" s="25" t="s">
        <v>667</v>
      </c>
      <c r="D294" s="25" t="s">
        <v>668</v>
      </c>
      <c r="E294" s="26" t="s">
        <v>43</v>
      </c>
      <c r="F294" s="27" t="s">
        <v>43</v>
      </c>
      <c r="G294" s="28" t="s">
        <v>43</v>
      </c>
      <c r="H294" s="29"/>
      <c r="I294" s="29" t="s">
        <v>44</v>
      </c>
      <c r="J294" s="30">
        <v>1</v>
      </c>
      <c r="K294" s="31">
        <f>2032</f>
        <v>2032</v>
      </c>
      <c r="L294" s="32" t="s">
        <v>675</v>
      </c>
      <c r="M294" s="31">
        <f>2199</f>
        <v>2199</v>
      </c>
      <c r="N294" s="32" t="s">
        <v>760</v>
      </c>
      <c r="O294" s="31">
        <f>2020</f>
        <v>2020</v>
      </c>
      <c r="P294" s="32" t="s">
        <v>675</v>
      </c>
      <c r="Q294" s="31">
        <f>2169</f>
        <v>2169</v>
      </c>
      <c r="R294" s="32" t="s">
        <v>681</v>
      </c>
      <c r="S294" s="33">
        <f>2149.89</f>
        <v>2149.89</v>
      </c>
      <c r="T294" s="30">
        <f>65677</f>
        <v>65677</v>
      </c>
      <c r="U294" s="30">
        <f>1</f>
        <v>1</v>
      </c>
      <c r="V294" s="30">
        <f>141669968</f>
        <v>141669968</v>
      </c>
      <c r="W294" s="30">
        <f>2164</f>
        <v>2164</v>
      </c>
      <c r="X294" s="34">
        <f>19</f>
        <v>19</v>
      </c>
    </row>
    <row r="295" spans="1:24">
      <c r="A295" s="25" t="s">
        <v>1078</v>
      </c>
      <c r="B295" s="25" t="s">
        <v>669</v>
      </c>
      <c r="C295" s="25" t="s">
        <v>670</v>
      </c>
      <c r="D295" s="25" t="s">
        <v>671</v>
      </c>
      <c r="E295" s="26" t="s">
        <v>43</v>
      </c>
      <c r="F295" s="27" t="s">
        <v>43</v>
      </c>
      <c r="G295" s="28" t="s">
        <v>43</v>
      </c>
      <c r="H295" s="29"/>
      <c r="I295" s="29" t="s">
        <v>44</v>
      </c>
      <c r="J295" s="30">
        <v>1</v>
      </c>
      <c r="K295" s="31">
        <f>1303</f>
        <v>1303</v>
      </c>
      <c r="L295" s="32" t="s">
        <v>675</v>
      </c>
      <c r="M295" s="31">
        <f>1346</f>
        <v>1346</v>
      </c>
      <c r="N295" s="32" t="s">
        <v>759</v>
      </c>
      <c r="O295" s="31">
        <f>1267</f>
        <v>1267</v>
      </c>
      <c r="P295" s="32" t="s">
        <v>681</v>
      </c>
      <c r="Q295" s="31">
        <f>1267</f>
        <v>1267</v>
      </c>
      <c r="R295" s="32" t="s">
        <v>681</v>
      </c>
      <c r="S295" s="33">
        <f>1302.68</f>
        <v>1302.68</v>
      </c>
      <c r="T295" s="30">
        <f>20851</f>
        <v>20851</v>
      </c>
      <c r="U295" s="30" t="str">
        <f>"－"</f>
        <v>－</v>
      </c>
      <c r="V295" s="30">
        <f>27203772</f>
        <v>27203772</v>
      </c>
      <c r="W295" s="30" t="str">
        <f>"－"</f>
        <v>－</v>
      </c>
      <c r="X295" s="34">
        <f>19</f>
        <v>19</v>
      </c>
    </row>
    <row r="296" spans="1:24">
      <c r="A296" s="25" t="s">
        <v>1078</v>
      </c>
      <c r="B296" s="25" t="s">
        <v>687</v>
      </c>
      <c r="C296" s="25" t="s">
        <v>688</v>
      </c>
      <c r="D296" s="25" t="s">
        <v>689</v>
      </c>
      <c r="E296" s="26" t="s">
        <v>43</v>
      </c>
      <c r="F296" s="27" t="s">
        <v>43</v>
      </c>
      <c r="G296" s="28" t="s">
        <v>43</v>
      </c>
      <c r="H296" s="29"/>
      <c r="I296" s="29" t="s">
        <v>44</v>
      </c>
      <c r="J296" s="30">
        <v>1</v>
      </c>
      <c r="K296" s="31">
        <f>1725</f>
        <v>1725</v>
      </c>
      <c r="L296" s="32" t="s">
        <v>675</v>
      </c>
      <c r="M296" s="31">
        <f>1725</f>
        <v>1725</v>
      </c>
      <c r="N296" s="32" t="s">
        <v>675</v>
      </c>
      <c r="O296" s="31">
        <f>1460</f>
        <v>1460</v>
      </c>
      <c r="P296" s="32" t="s">
        <v>681</v>
      </c>
      <c r="Q296" s="31">
        <f>1490</f>
        <v>1490</v>
      </c>
      <c r="R296" s="32" t="s">
        <v>681</v>
      </c>
      <c r="S296" s="33">
        <f>1596.32</f>
        <v>1596.32</v>
      </c>
      <c r="T296" s="30">
        <f>72696</f>
        <v>72696</v>
      </c>
      <c r="U296" s="30" t="str">
        <f>"－"</f>
        <v>－</v>
      </c>
      <c r="V296" s="30">
        <f>114201672</f>
        <v>114201672</v>
      </c>
      <c r="W296" s="30" t="str">
        <f>"－"</f>
        <v>－</v>
      </c>
      <c r="X296" s="34">
        <f>19</f>
        <v>19</v>
      </c>
    </row>
    <row r="297" spans="1:24">
      <c r="A297" s="25" t="s">
        <v>1078</v>
      </c>
      <c r="B297" s="25" t="s">
        <v>690</v>
      </c>
      <c r="C297" s="25" t="s">
        <v>691</v>
      </c>
      <c r="D297" s="25" t="s">
        <v>692</v>
      </c>
      <c r="E297" s="26" t="s">
        <v>43</v>
      </c>
      <c r="F297" s="27" t="s">
        <v>43</v>
      </c>
      <c r="G297" s="28" t="s">
        <v>43</v>
      </c>
      <c r="H297" s="29"/>
      <c r="I297" s="29" t="s">
        <v>44</v>
      </c>
      <c r="J297" s="30">
        <v>1</v>
      </c>
      <c r="K297" s="31">
        <f>2191</f>
        <v>2191</v>
      </c>
      <c r="L297" s="32" t="s">
        <v>675</v>
      </c>
      <c r="M297" s="31">
        <f>2240</f>
        <v>2240</v>
      </c>
      <c r="N297" s="32" t="s">
        <v>679</v>
      </c>
      <c r="O297" s="31">
        <f>2082</f>
        <v>2082</v>
      </c>
      <c r="P297" s="32" t="s">
        <v>778</v>
      </c>
      <c r="Q297" s="31">
        <f>2100</f>
        <v>2100</v>
      </c>
      <c r="R297" s="32" t="s">
        <v>681</v>
      </c>
      <c r="S297" s="33">
        <f>2141.63</f>
        <v>2141.63</v>
      </c>
      <c r="T297" s="30">
        <f>10812</f>
        <v>10812</v>
      </c>
      <c r="U297" s="30" t="str">
        <f>"－"</f>
        <v>－</v>
      </c>
      <c r="V297" s="30">
        <f>23181715</f>
        <v>23181715</v>
      </c>
      <c r="W297" s="30" t="str">
        <f>"－"</f>
        <v>－</v>
      </c>
      <c r="X297" s="34">
        <f>19</f>
        <v>19</v>
      </c>
    </row>
    <row r="298" spans="1:24">
      <c r="A298" s="25" t="s">
        <v>1078</v>
      </c>
      <c r="B298" s="25" t="s">
        <v>693</v>
      </c>
      <c r="C298" s="25" t="s">
        <v>694</v>
      </c>
      <c r="D298" s="25" t="s">
        <v>695</v>
      </c>
      <c r="E298" s="26" t="s">
        <v>43</v>
      </c>
      <c r="F298" s="27" t="s">
        <v>43</v>
      </c>
      <c r="G298" s="28" t="s">
        <v>43</v>
      </c>
      <c r="H298" s="29"/>
      <c r="I298" s="29" t="s">
        <v>44</v>
      </c>
      <c r="J298" s="30">
        <v>1</v>
      </c>
      <c r="K298" s="31">
        <f>11035</f>
        <v>11035</v>
      </c>
      <c r="L298" s="32" t="s">
        <v>675</v>
      </c>
      <c r="M298" s="31">
        <f>11540</f>
        <v>11540</v>
      </c>
      <c r="N298" s="32" t="s">
        <v>777</v>
      </c>
      <c r="O298" s="31">
        <f>10990</f>
        <v>10990</v>
      </c>
      <c r="P298" s="32" t="s">
        <v>674</v>
      </c>
      <c r="Q298" s="31">
        <f>11485</f>
        <v>11485</v>
      </c>
      <c r="R298" s="32" t="s">
        <v>681</v>
      </c>
      <c r="S298" s="33">
        <f>11261.58</f>
        <v>11261.58</v>
      </c>
      <c r="T298" s="30">
        <f>560538</f>
        <v>560538</v>
      </c>
      <c r="U298" s="30">
        <f>268100</f>
        <v>268100</v>
      </c>
      <c r="V298" s="30">
        <f>6350976267</f>
        <v>6350976267</v>
      </c>
      <c r="W298" s="30">
        <f>3051988057</f>
        <v>3051988057</v>
      </c>
      <c r="X298" s="34">
        <f>19</f>
        <v>19</v>
      </c>
    </row>
    <row r="299" spans="1:24">
      <c r="A299" s="25" t="s">
        <v>1078</v>
      </c>
      <c r="B299" s="25" t="s">
        <v>696</v>
      </c>
      <c r="C299" s="25" t="s">
        <v>697</v>
      </c>
      <c r="D299" s="25" t="s">
        <v>698</v>
      </c>
      <c r="E299" s="26" t="s">
        <v>43</v>
      </c>
      <c r="F299" s="27" t="s">
        <v>43</v>
      </c>
      <c r="G299" s="28" t="s">
        <v>43</v>
      </c>
      <c r="H299" s="29"/>
      <c r="I299" s="29" t="s">
        <v>44</v>
      </c>
      <c r="J299" s="30">
        <v>1</v>
      </c>
      <c r="K299" s="31">
        <f>16820</f>
        <v>16820</v>
      </c>
      <c r="L299" s="32" t="s">
        <v>675</v>
      </c>
      <c r="M299" s="31">
        <f>18640</f>
        <v>18640</v>
      </c>
      <c r="N299" s="32" t="s">
        <v>777</v>
      </c>
      <c r="O299" s="31">
        <f>16790</f>
        <v>16790</v>
      </c>
      <c r="P299" s="32" t="s">
        <v>675</v>
      </c>
      <c r="Q299" s="31">
        <f>18385</f>
        <v>18385</v>
      </c>
      <c r="R299" s="32" t="s">
        <v>681</v>
      </c>
      <c r="S299" s="33">
        <f>17906.05</f>
        <v>17906.05</v>
      </c>
      <c r="T299" s="30">
        <f>663111</f>
        <v>663111</v>
      </c>
      <c r="U299" s="30">
        <f>15896</f>
        <v>15896</v>
      </c>
      <c r="V299" s="30">
        <f>11856392635</f>
        <v>11856392635</v>
      </c>
      <c r="W299" s="30">
        <f>293928555</f>
        <v>293928555</v>
      </c>
      <c r="X299" s="34">
        <f>19</f>
        <v>19</v>
      </c>
    </row>
    <row r="300" spans="1:24">
      <c r="A300" s="25" t="s">
        <v>1078</v>
      </c>
      <c r="B300" s="25" t="s">
        <v>699</v>
      </c>
      <c r="C300" s="25" t="s">
        <v>700</v>
      </c>
      <c r="D300" s="25" t="s">
        <v>701</v>
      </c>
      <c r="E300" s="26" t="s">
        <v>43</v>
      </c>
      <c r="F300" s="27" t="s">
        <v>43</v>
      </c>
      <c r="G300" s="28" t="s">
        <v>43</v>
      </c>
      <c r="H300" s="29"/>
      <c r="I300" s="29" t="s">
        <v>44</v>
      </c>
      <c r="J300" s="30">
        <v>1</v>
      </c>
      <c r="K300" s="31">
        <f>11145</f>
        <v>11145</v>
      </c>
      <c r="L300" s="32" t="s">
        <v>675</v>
      </c>
      <c r="M300" s="31">
        <f>11985</f>
        <v>11985</v>
      </c>
      <c r="N300" s="32" t="s">
        <v>777</v>
      </c>
      <c r="O300" s="31">
        <f>11080</f>
        <v>11080</v>
      </c>
      <c r="P300" s="32" t="s">
        <v>674</v>
      </c>
      <c r="Q300" s="31">
        <f>11790</f>
        <v>11790</v>
      </c>
      <c r="R300" s="32" t="s">
        <v>681</v>
      </c>
      <c r="S300" s="33">
        <f>11577.37</f>
        <v>11577.37</v>
      </c>
      <c r="T300" s="30">
        <f>550826</f>
        <v>550826</v>
      </c>
      <c r="U300" s="30">
        <f>91671</f>
        <v>91671</v>
      </c>
      <c r="V300" s="30">
        <f>6401177197</f>
        <v>6401177197</v>
      </c>
      <c r="W300" s="30">
        <f>1095881977</f>
        <v>1095881977</v>
      </c>
      <c r="X300" s="34">
        <f>19</f>
        <v>19</v>
      </c>
    </row>
    <row r="301" spans="1:24">
      <c r="A301" s="25" t="s">
        <v>1078</v>
      </c>
      <c r="B301" s="25" t="s">
        <v>702</v>
      </c>
      <c r="C301" s="25" t="s">
        <v>703</v>
      </c>
      <c r="D301" s="25" t="s">
        <v>704</v>
      </c>
      <c r="E301" s="26" t="s">
        <v>43</v>
      </c>
      <c r="F301" s="27" t="s">
        <v>43</v>
      </c>
      <c r="G301" s="28" t="s">
        <v>43</v>
      </c>
      <c r="H301" s="29"/>
      <c r="I301" s="29" t="s">
        <v>44</v>
      </c>
      <c r="J301" s="30">
        <v>10</v>
      </c>
      <c r="K301" s="31">
        <f>311.1</f>
        <v>311.10000000000002</v>
      </c>
      <c r="L301" s="32" t="s">
        <v>675</v>
      </c>
      <c r="M301" s="31">
        <f>335.8</f>
        <v>335.8</v>
      </c>
      <c r="N301" s="32" t="s">
        <v>777</v>
      </c>
      <c r="O301" s="31">
        <f>310.6</f>
        <v>310.60000000000002</v>
      </c>
      <c r="P301" s="32" t="s">
        <v>675</v>
      </c>
      <c r="Q301" s="31">
        <f>334.7</f>
        <v>334.7</v>
      </c>
      <c r="R301" s="32" t="s">
        <v>681</v>
      </c>
      <c r="S301" s="33">
        <f>325.74</f>
        <v>325.74</v>
      </c>
      <c r="T301" s="30">
        <f>7598660</f>
        <v>7598660</v>
      </c>
      <c r="U301" s="30">
        <f>534800</f>
        <v>534800</v>
      </c>
      <c r="V301" s="30">
        <f>2468382907</f>
        <v>2468382907</v>
      </c>
      <c r="W301" s="30">
        <f>171068980</f>
        <v>171068980</v>
      </c>
      <c r="X301" s="34">
        <f>19</f>
        <v>19</v>
      </c>
    </row>
    <row r="302" spans="1:24">
      <c r="A302" s="25" t="s">
        <v>1078</v>
      </c>
      <c r="B302" s="25" t="s">
        <v>705</v>
      </c>
      <c r="C302" s="25" t="s">
        <v>706</v>
      </c>
      <c r="D302" s="25" t="s">
        <v>707</v>
      </c>
      <c r="E302" s="26" t="s">
        <v>43</v>
      </c>
      <c r="F302" s="27" t="s">
        <v>43</v>
      </c>
      <c r="G302" s="28" t="s">
        <v>43</v>
      </c>
      <c r="H302" s="29"/>
      <c r="I302" s="29" t="s">
        <v>44</v>
      </c>
      <c r="J302" s="30">
        <v>10</v>
      </c>
      <c r="K302" s="31">
        <f>2173.5</f>
        <v>2173.5</v>
      </c>
      <c r="L302" s="32" t="s">
        <v>675</v>
      </c>
      <c r="M302" s="31">
        <f>2272</f>
        <v>2272</v>
      </c>
      <c r="N302" s="32" t="s">
        <v>777</v>
      </c>
      <c r="O302" s="31">
        <f>2165.5</f>
        <v>2165.5</v>
      </c>
      <c r="P302" s="32" t="s">
        <v>674</v>
      </c>
      <c r="Q302" s="31">
        <f>2260</f>
        <v>2260</v>
      </c>
      <c r="R302" s="32" t="s">
        <v>681</v>
      </c>
      <c r="S302" s="33">
        <f>2216.97</f>
        <v>2216.9699999999998</v>
      </c>
      <c r="T302" s="30">
        <f>2334790</f>
        <v>2334790</v>
      </c>
      <c r="U302" s="30">
        <f>910950</f>
        <v>910950</v>
      </c>
      <c r="V302" s="30">
        <f>5205913445</f>
        <v>5205913445</v>
      </c>
      <c r="W302" s="30">
        <f>2032491315</f>
        <v>2032491315</v>
      </c>
      <c r="X302" s="34">
        <f>19</f>
        <v>19</v>
      </c>
    </row>
    <row r="303" spans="1:24">
      <c r="A303" s="25" t="s">
        <v>1078</v>
      </c>
      <c r="B303" s="25" t="s">
        <v>708</v>
      </c>
      <c r="C303" s="25" t="s">
        <v>709</v>
      </c>
      <c r="D303" s="25" t="s">
        <v>710</v>
      </c>
      <c r="E303" s="26" t="s">
        <v>43</v>
      </c>
      <c r="F303" s="27" t="s">
        <v>43</v>
      </c>
      <c r="G303" s="28" t="s">
        <v>43</v>
      </c>
      <c r="H303" s="29"/>
      <c r="I303" s="29" t="s">
        <v>44</v>
      </c>
      <c r="J303" s="30">
        <v>10</v>
      </c>
      <c r="K303" s="31">
        <f>3255</f>
        <v>3255</v>
      </c>
      <c r="L303" s="32" t="s">
        <v>675</v>
      </c>
      <c r="M303" s="31">
        <f>3500</f>
        <v>3500</v>
      </c>
      <c r="N303" s="32" t="s">
        <v>683</v>
      </c>
      <c r="O303" s="31">
        <f>3234</f>
        <v>3234</v>
      </c>
      <c r="P303" s="32" t="s">
        <v>675</v>
      </c>
      <c r="Q303" s="31">
        <f>3477</f>
        <v>3477</v>
      </c>
      <c r="R303" s="32" t="s">
        <v>681</v>
      </c>
      <c r="S303" s="33">
        <f>3388.47</f>
        <v>3388.47</v>
      </c>
      <c r="T303" s="30">
        <f>97190</f>
        <v>97190</v>
      </c>
      <c r="U303" s="30">
        <f>80020</f>
        <v>80020</v>
      </c>
      <c r="V303" s="30">
        <f>317536660</f>
        <v>317536660</v>
      </c>
      <c r="W303" s="30">
        <f>259898830</f>
        <v>259898830</v>
      </c>
      <c r="X303" s="34">
        <f>19</f>
        <v>19</v>
      </c>
    </row>
    <row r="304" spans="1:24">
      <c r="A304" s="25" t="s">
        <v>1078</v>
      </c>
      <c r="B304" s="25" t="s">
        <v>711</v>
      </c>
      <c r="C304" s="25" t="s">
        <v>712</v>
      </c>
      <c r="D304" s="25" t="s">
        <v>713</v>
      </c>
      <c r="E304" s="26" t="s">
        <v>43</v>
      </c>
      <c r="F304" s="27" t="s">
        <v>43</v>
      </c>
      <c r="G304" s="28" t="s">
        <v>43</v>
      </c>
      <c r="H304" s="29"/>
      <c r="I304" s="29" t="s">
        <v>44</v>
      </c>
      <c r="J304" s="30">
        <v>1</v>
      </c>
      <c r="K304" s="31">
        <f>2891</f>
        <v>2891</v>
      </c>
      <c r="L304" s="32" t="s">
        <v>675</v>
      </c>
      <c r="M304" s="31">
        <f>3190</f>
        <v>3190</v>
      </c>
      <c r="N304" s="32" t="s">
        <v>778</v>
      </c>
      <c r="O304" s="31">
        <f>2868</f>
        <v>2868</v>
      </c>
      <c r="P304" s="32" t="s">
        <v>675</v>
      </c>
      <c r="Q304" s="31">
        <f>3140</f>
        <v>3140</v>
      </c>
      <c r="R304" s="32" t="s">
        <v>681</v>
      </c>
      <c r="S304" s="33">
        <f>3070</f>
        <v>3070</v>
      </c>
      <c r="T304" s="30">
        <f>5574</f>
        <v>5574</v>
      </c>
      <c r="U304" s="30" t="str">
        <f>"－"</f>
        <v>－</v>
      </c>
      <c r="V304" s="30">
        <f>16964983</f>
        <v>16964983</v>
      </c>
      <c r="W304" s="30" t="str">
        <f>"－"</f>
        <v>－</v>
      </c>
      <c r="X304" s="34">
        <f>19</f>
        <v>19</v>
      </c>
    </row>
    <row r="305" spans="1:24">
      <c r="A305" s="25" t="s">
        <v>1078</v>
      </c>
      <c r="B305" s="25" t="s">
        <v>714</v>
      </c>
      <c r="C305" s="25" t="s">
        <v>1035</v>
      </c>
      <c r="D305" s="25" t="s">
        <v>1034</v>
      </c>
      <c r="E305" s="26" t="s">
        <v>43</v>
      </c>
      <c r="F305" s="27" t="s">
        <v>43</v>
      </c>
      <c r="G305" s="28" t="s">
        <v>43</v>
      </c>
      <c r="H305" s="29"/>
      <c r="I305" s="29" t="s">
        <v>44</v>
      </c>
      <c r="J305" s="30">
        <v>1</v>
      </c>
      <c r="K305" s="31">
        <f>1519</f>
        <v>1519</v>
      </c>
      <c r="L305" s="32" t="s">
        <v>675</v>
      </c>
      <c r="M305" s="31">
        <f>1610</f>
        <v>1610</v>
      </c>
      <c r="N305" s="32" t="s">
        <v>683</v>
      </c>
      <c r="O305" s="31">
        <f>1500</f>
        <v>1500</v>
      </c>
      <c r="P305" s="32" t="s">
        <v>675</v>
      </c>
      <c r="Q305" s="31">
        <f>1589</f>
        <v>1589</v>
      </c>
      <c r="R305" s="32" t="s">
        <v>681</v>
      </c>
      <c r="S305" s="33">
        <f>1572.79</f>
        <v>1572.79</v>
      </c>
      <c r="T305" s="30">
        <f>171378</f>
        <v>171378</v>
      </c>
      <c r="U305" s="30">
        <f>40000</f>
        <v>40000</v>
      </c>
      <c r="V305" s="30">
        <f>272154469</f>
        <v>272154469</v>
      </c>
      <c r="W305" s="30">
        <f>64044000</f>
        <v>64044000</v>
      </c>
      <c r="X305" s="34">
        <f>19</f>
        <v>19</v>
      </c>
    </row>
    <row r="306" spans="1:24">
      <c r="A306" s="25" t="s">
        <v>1078</v>
      </c>
      <c r="B306" s="25" t="s">
        <v>715</v>
      </c>
      <c r="C306" s="25" t="s">
        <v>716</v>
      </c>
      <c r="D306" s="25" t="s">
        <v>717</v>
      </c>
      <c r="E306" s="26" t="s">
        <v>43</v>
      </c>
      <c r="F306" s="27" t="s">
        <v>43</v>
      </c>
      <c r="G306" s="28" t="s">
        <v>43</v>
      </c>
      <c r="H306" s="29"/>
      <c r="I306" s="29" t="s">
        <v>44</v>
      </c>
      <c r="J306" s="30">
        <v>1</v>
      </c>
      <c r="K306" s="31">
        <f>1967</f>
        <v>1967</v>
      </c>
      <c r="L306" s="32" t="s">
        <v>675</v>
      </c>
      <c r="M306" s="31">
        <f>2146</f>
        <v>2146</v>
      </c>
      <c r="N306" s="32" t="s">
        <v>874</v>
      </c>
      <c r="O306" s="31">
        <f>1939</f>
        <v>1939</v>
      </c>
      <c r="P306" s="32" t="s">
        <v>876</v>
      </c>
      <c r="Q306" s="31">
        <f>2056</f>
        <v>2056</v>
      </c>
      <c r="R306" s="32" t="s">
        <v>681</v>
      </c>
      <c r="S306" s="33">
        <f>2054.37</f>
        <v>2054.37</v>
      </c>
      <c r="T306" s="30">
        <f>201055</f>
        <v>201055</v>
      </c>
      <c r="U306" s="30">
        <f>2</f>
        <v>2</v>
      </c>
      <c r="V306" s="30">
        <f>414429998</f>
        <v>414429998</v>
      </c>
      <c r="W306" s="30">
        <f>4142</f>
        <v>4142</v>
      </c>
      <c r="X306" s="34">
        <f>19</f>
        <v>19</v>
      </c>
    </row>
    <row r="307" spans="1:24">
      <c r="A307" s="25" t="s">
        <v>1078</v>
      </c>
      <c r="B307" s="25" t="s">
        <v>718</v>
      </c>
      <c r="C307" s="25" t="s">
        <v>719</v>
      </c>
      <c r="D307" s="25" t="s">
        <v>720</v>
      </c>
      <c r="E307" s="26" t="s">
        <v>43</v>
      </c>
      <c r="F307" s="27" t="s">
        <v>43</v>
      </c>
      <c r="G307" s="28" t="s">
        <v>43</v>
      </c>
      <c r="H307" s="29"/>
      <c r="I307" s="29" t="s">
        <v>44</v>
      </c>
      <c r="J307" s="30">
        <v>1</v>
      </c>
      <c r="K307" s="31">
        <f>1580</f>
        <v>1580</v>
      </c>
      <c r="L307" s="32" t="s">
        <v>675</v>
      </c>
      <c r="M307" s="31">
        <f>1695</f>
        <v>1695</v>
      </c>
      <c r="N307" s="32" t="s">
        <v>760</v>
      </c>
      <c r="O307" s="31">
        <f>1568</f>
        <v>1568</v>
      </c>
      <c r="P307" s="32" t="s">
        <v>675</v>
      </c>
      <c r="Q307" s="31">
        <f>1635</f>
        <v>1635</v>
      </c>
      <c r="R307" s="32" t="s">
        <v>681</v>
      </c>
      <c r="S307" s="33">
        <f>1648.68</f>
        <v>1648.68</v>
      </c>
      <c r="T307" s="30">
        <f>65694</f>
        <v>65694</v>
      </c>
      <c r="U307" s="30" t="str">
        <f>"－"</f>
        <v>－</v>
      </c>
      <c r="V307" s="30">
        <f>107700738</f>
        <v>107700738</v>
      </c>
      <c r="W307" s="30" t="str">
        <f>"－"</f>
        <v>－</v>
      </c>
      <c r="X307" s="34">
        <f>19</f>
        <v>19</v>
      </c>
    </row>
    <row r="308" spans="1:24">
      <c r="A308" s="25" t="s">
        <v>1078</v>
      </c>
      <c r="B308" s="25" t="s">
        <v>721</v>
      </c>
      <c r="C308" s="25" t="s">
        <v>722</v>
      </c>
      <c r="D308" s="25" t="s">
        <v>723</v>
      </c>
      <c r="E308" s="26" t="s">
        <v>43</v>
      </c>
      <c r="F308" s="27" t="s">
        <v>43</v>
      </c>
      <c r="G308" s="28" t="s">
        <v>43</v>
      </c>
      <c r="H308" s="29"/>
      <c r="I308" s="29" t="s">
        <v>44</v>
      </c>
      <c r="J308" s="30">
        <v>1</v>
      </c>
      <c r="K308" s="31">
        <f>2688</f>
        <v>2688</v>
      </c>
      <c r="L308" s="32" t="s">
        <v>675</v>
      </c>
      <c r="M308" s="31">
        <f>2989</f>
        <v>2989</v>
      </c>
      <c r="N308" s="32" t="s">
        <v>681</v>
      </c>
      <c r="O308" s="31">
        <f>2651</f>
        <v>2651</v>
      </c>
      <c r="P308" s="32" t="s">
        <v>675</v>
      </c>
      <c r="Q308" s="31">
        <f>2989</f>
        <v>2989</v>
      </c>
      <c r="R308" s="32" t="s">
        <v>681</v>
      </c>
      <c r="S308" s="33">
        <f>2897.84</f>
        <v>2897.84</v>
      </c>
      <c r="T308" s="30">
        <f>80564</f>
        <v>80564</v>
      </c>
      <c r="U308" s="30" t="str">
        <f>"－"</f>
        <v>－</v>
      </c>
      <c r="V308" s="30">
        <f>231909289</f>
        <v>231909289</v>
      </c>
      <c r="W308" s="30" t="str">
        <f>"－"</f>
        <v>－</v>
      </c>
      <c r="X308" s="34">
        <f>19</f>
        <v>19</v>
      </c>
    </row>
    <row r="309" spans="1:24">
      <c r="A309" s="25" t="s">
        <v>1078</v>
      </c>
      <c r="B309" s="25" t="s">
        <v>724</v>
      </c>
      <c r="C309" s="25" t="s">
        <v>1033</v>
      </c>
      <c r="D309" s="25" t="s">
        <v>1032</v>
      </c>
      <c r="E309" s="26" t="s">
        <v>43</v>
      </c>
      <c r="F309" s="27" t="s">
        <v>43</v>
      </c>
      <c r="G309" s="28" t="s">
        <v>43</v>
      </c>
      <c r="H309" s="29"/>
      <c r="I309" s="29" t="s">
        <v>44</v>
      </c>
      <c r="J309" s="30">
        <v>1</v>
      </c>
      <c r="K309" s="31">
        <f>2570</f>
        <v>2570</v>
      </c>
      <c r="L309" s="32" t="s">
        <v>675</v>
      </c>
      <c r="M309" s="31">
        <f>2875</f>
        <v>2875</v>
      </c>
      <c r="N309" s="32" t="s">
        <v>874</v>
      </c>
      <c r="O309" s="31">
        <f>2531</f>
        <v>2531</v>
      </c>
      <c r="P309" s="32" t="s">
        <v>675</v>
      </c>
      <c r="Q309" s="31">
        <f>2810</f>
        <v>2810</v>
      </c>
      <c r="R309" s="32" t="s">
        <v>681</v>
      </c>
      <c r="S309" s="33">
        <f>2731.21</f>
        <v>2731.21</v>
      </c>
      <c r="T309" s="30">
        <f>220698</f>
        <v>220698</v>
      </c>
      <c r="U309" s="30" t="str">
        <f>"－"</f>
        <v>－</v>
      </c>
      <c r="V309" s="30">
        <f>606736415</f>
        <v>606736415</v>
      </c>
      <c r="W309" s="30" t="str">
        <f>"－"</f>
        <v>－</v>
      </c>
      <c r="X309" s="34">
        <f>19</f>
        <v>19</v>
      </c>
    </row>
    <row r="310" spans="1:24">
      <c r="A310" s="25" t="s">
        <v>1078</v>
      </c>
      <c r="B310" s="25" t="s">
        <v>725</v>
      </c>
      <c r="C310" s="25" t="s">
        <v>726</v>
      </c>
      <c r="D310" s="25" t="s">
        <v>727</v>
      </c>
      <c r="E310" s="26" t="s">
        <v>43</v>
      </c>
      <c r="F310" s="27" t="s">
        <v>43</v>
      </c>
      <c r="G310" s="28" t="s">
        <v>43</v>
      </c>
      <c r="H310" s="29"/>
      <c r="I310" s="29" t="s">
        <v>44</v>
      </c>
      <c r="J310" s="30">
        <v>1</v>
      </c>
      <c r="K310" s="31">
        <f>31350</f>
        <v>31350</v>
      </c>
      <c r="L310" s="32" t="s">
        <v>675</v>
      </c>
      <c r="M310" s="31">
        <f>33730</f>
        <v>33730</v>
      </c>
      <c r="N310" s="32" t="s">
        <v>778</v>
      </c>
      <c r="O310" s="31">
        <f>31350</f>
        <v>31350</v>
      </c>
      <c r="P310" s="32" t="s">
        <v>675</v>
      </c>
      <c r="Q310" s="31">
        <f>33570</f>
        <v>33570</v>
      </c>
      <c r="R310" s="32" t="s">
        <v>681</v>
      </c>
      <c r="S310" s="33">
        <f>32892.78</f>
        <v>32892.78</v>
      </c>
      <c r="T310" s="30">
        <f>78</f>
        <v>78</v>
      </c>
      <c r="U310" s="30" t="str">
        <f>"－"</f>
        <v>－</v>
      </c>
      <c r="V310" s="30">
        <f>2571550</f>
        <v>2571550</v>
      </c>
      <c r="W310" s="30" t="str">
        <f>"－"</f>
        <v>－</v>
      </c>
      <c r="X310" s="34">
        <f>18</f>
        <v>18</v>
      </c>
    </row>
    <row r="311" spans="1:24">
      <c r="A311" s="25" t="s">
        <v>1078</v>
      </c>
      <c r="B311" s="25" t="s">
        <v>728</v>
      </c>
      <c r="C311" s="25" t="s">
        <v>729</v>
      </c>
      <c r="D311" s="25" t="s">
        <v>730</v>
      </c>
      <c r="E311" s="26" t="s">
        <v>43</v>
      </c>
      <c r="F311" s="27" t="s">
        <v>43</v>
      </c>
      <c r="G311" s="28" t="s">
        <v>43</v>
      </c>
      <c r="H311" s="29"/>
      <c r="I311" s="29" t="s">
        <v>44</v>
      </c>
      <c r="J311" s="30">
        <v>1</v>
      </c>
      <c r="K311" s="31">
        <f>2417</f>
        <v>2417</v>
      </c>
      <c r="L311" s="32" t="s">
        <v>675</v>
      </c>
      <c r="M311" s="31">
        <f>2717</f>
        <v>2717</v>
      </c>
      <c r="N311" s="32" t="s">
        <v>681</v>
      </c>
      <c r="O311" s="31">
        <f>2417</f>
        <v>2417</v>
      </c>
      <c r="P311" s="32" t="s">
        <v>675</v>
      </c>
      <c r="Q311" s="31">
        <f>2635</f>
        <v>2635</v>
      </c>
      <c r="R311" s="32" t="s">
        <v>681</v>
      </c>
      <c r="S311" s="33">
        <f>2575.82</f>
        <v>2575.8200000000002</v>
      </c>
      <c r="T311" s="30">
        <f>23273</f>
        <v>23273</v>
      </c>
      <c r="U311" s="30" t="str">
        <f>"－"</f>
        <v>－</v>
      </c>
      <c r="V311" s="30">
        <f>60253456</f>
        <v>60253456</v>
      </c>
      <c r="W311" s="30" t="str">
        <f>"－"</f>
        <v>－</v>
      </c>
      <c r="X311" s="34">
        <f>17</f>
        <v>17</v>
      </c>
    </row>
    <row r="312" spans="1:24">
      <c r="A312" s="25" t="s">
        <v>1078</v>
      </c>
      <c r="B312" s="25" t="s">
        <v>731</v>
      </c>
      <c r="C312" s="25" t="s">
        <v>732</v>
      </c>
      <c r="D312" s="25" t="s">
        <v>733</v>
      </c>
      <c r="E312" s="26" t="s">
        <v>43</v>
      </c>
      <c r="F312" s="27" t="s">
        <v>43</v>
      </c>
      <c r="G312" s="28" t="s">
        <v>43</v>
      </c>
      <c r="H312" s="29"/>
      <c r="I312" s="29" t="s">
        <v>44</v>
      </c>
      <c r="J312" s="30">
        <v>1</v>
      </c>
      <c r="K312" s="31">
        <f>3700</f>
        <v>3700</v>
      </c>
      <c r="L312" s="32" t="s">
        <v>675</v>
      </c>
      <c r="M312" s="31">
        <f>4395</f>
        <v>4395</v>
      </c>
      <c r="N312" s="32" t="s">
        <v>778</v>
      </c>
      <c r="O312" s="31">
        <f>3625</f>
        <v>3625</v>
      </c>
      <c r="P312" s="32" t="s">
        <v>675</v>
      </c>
      <c r="Q312" s="31">
        <f>4210</f>
        <v>4210</v>
      </c>
      <c r="R312" s="32" t="s">
        <v>681</v>
      </c>
      <c r="S312" s="33">
        <f>4040.79</f>
        <v>4040.79</v>
      </c>
      <c r="T312" s="30">
        <f>10348030</f>
        <v>10348030</v>
      </c>
      <c r="U312" s="30">
        <f>913743</f>
        <v>913743</v>
      </c>
      <c r="V312" s="30">
        <f>42592626815</f>
        <v>42592626815</v>
      </c>
      <c r="W312" s="30">
        <f>3772079550</f>
        <v>3772079550</v>
      </c>
      <c r="X312" s="34">
        <f>19</f>
        <v>19</v>
      </c>
    </row>
    <row r="313" spans="1:24">
      <c r="A313" s="25" t="s">
        <v>1078</v>
      </c>
      <c r="B313" s="25" t="s">
        <v>734</v>
      </c>
      <c r="C313" s="25" t="s">
        <v>735</v>
      </c>
      <c r="D313" s="25" t="s">
        <v>736</v>
      </c>
      <c r="E313" s="26" t="s">
        <v>43</v>
      </c>
      <c r="F313" s="27" t="s">
        <v>43</v>
      </c>
      <c r="G313" s="28" t="s">
        <v>43</v>
      </c>
      <c r="H313" s="29"/>
      <c r="I313" s="29" t="s">
        <v>44</v>
      </c>
      <c r="J313" s="30">
        <v>1</v>
      </c>
      <c r="K313" s="31">
        <f>1931</f>
        <v>1931</v>
      </c>
      <c r="L313" s="32" t="s">
        <v>675</v>
      </c>
      <c r="M313" s="31">
        <f>2061</f>
        <v>2061</v>
      </c>
      <c r="N313" s="32" t="s">
        <v>683</v>
      </c>
      <c r="O313" s="31">
        <f>1910</f>
        <v>1910</v>
      </c>
      <c r="P313" s="32" t="s">
        <v>675</v>
      </c>
      <c r="Q313" s="31">
        <f>2028</f>
        <v>2028</v>
      </c>
      <c r="R313" s="32" t="s">
        <v>681</v>
      </c>
      <c r="S313" s="33">
        <f>2017.21</f>
        <v>2017.21</v>
      </c>
      <c r="T313" s="30">
        <f>16896</f>
        <v>16896</v>
      </c>
      <c r="U313" s="30" t="str">
        <f>"－"</f>
        <v>－</v>
      </c>
      <c r="V313" s="30">
        <f>33460084</f>
        <v>33460084</v>
      </c>
      <c r="W313" s="30" t="str">
        <f>"－"</f>
        <v>－</v>
      </c>
      <c r="X313" s="34">
        <f>19</f>
        <v>19</v>
      </c>
    </row>
    <row r="314" spans="1:24">
      <c r="A314" s="25" t="s">
        <v>1078</v>
      </c>
      <c r="B314" s="25" t="s">
        <v>737</v>
      </c>
      <c r="C314" s="25" t="s">
        <v>738</v>
      </c>
      <c r="D314" s="25" t="s">
        <v>739</v>
      </c>
      <c r="E314" s="26" t="s">
        <v>43</v>
      </c>
      <c r="F314" s="27" t="s">
        <v>43</v>
      </c>
      <c r="G314" s="28" t="s">
        <v>43</v>
      </c>
      <c r="H314" s="29"/>
      <c r="I314" s="29" t="s">
        <v>44</v>
      </c>
      <c r="J314" s="30">
        <v>1</v>
      </c>
      <c r="K314" s="31">
        <f>1680</f>
        <v>1680</v>
      </c>
      <c r="L314" s="32" t="s">
        <v>675</v>
      </c>
      <c r="M314" s="31">
        <f>1834</f>
        <v>1834</v>
      </c>
      <c r="N314" s="32" t="s">
        <v>760</v>
      </c>
      <c r="O314" s="31">
        <f>1670</f>
        <v>1670</v>
      </c>
      <c r="P314" s="32" t="s">
        <v>675</v>
      </c>
      <c r="Q314" s="31">
        <f>1810</f>
        <v>1810</v>
      </c>
      <c r="R314" s="32" t="s">
        <v>681</v>
      </c>
      <c r="S314" s="33">
        <f>1772.32</f>
        <v>1772.32</v>
      </c>
      <c r="T314" s="30">
        <f>3904</f>
        <v>3904</v>
      </c>
      <c r="U314" s="30" t="str">
        <f>"－"</f>
        <v>－</v>
      </c>
      <c r="V314" s="30">
        <f>6890951</f>
        <v>6890951</v>
      </c>
      <c r="W314" s="30" t="str">
        <f>"－"</f>
        <v>－</v>
      </c>
      <c r="X314" s="34">
        <f>19</f>
        <v>19</v>
      </c>
    </row>
    <row r="315" spans="1:24">
      <c r="A315" s="25" t="s">
        <v>1078</v>
      </c>
      <c r="B315" s="25" t="s">
        <v>740</v>
      </c>
      <c r="C315" s="25" t="s">
        <v>741</v>
      </c>
      <c r="D315" s="25" t="s">
        <v>742</v>
      </c>
      <c r="E315" s="26" t="s">
        <v>43</v>
      </c>
      <c r="F315" s="27" t="s">
        <v>43</v>
      </c>
      <c r="G315" s="28" t="s">
        <v>43</v>
      </c>
      <c r="H315" s="29"/>
      <c r="I315" s="29" t="s">
        <v>44</v>
      </c>
      <c r="J315" s="30">
        <v>10</v>
      </c>
      <c r="K315" s="31">
        <f>5397</f>
        <v>5397</v>
      </c>
      <c r="L315" s="32" t="s">
        <v>675</v>
      </c>
      <c r="M315" s="31">
        <f>5547</f>
        <v>5547</v>
      </c>
      <c r="N315" s="32" t="s">
        <v>681</v>
      </c>
      <c r="O315" s="31">
        <f>5370</f>
        <v>5370</v>
      </c>
      <c r="P315" s="32" t="s">
        <v>876</v>
      </c>
      <c r="Q315" s="31">
        <f>5544</f>
        <v>5544</v>
      </c>
      <c r="R315" s="32" t="s">
        <v>681</v>
      </c>
      <c r="S315" s="33">
        <f>5483.16</f>
        <v>5483.16</v>
      </c>
      <c r="T315" s="30">
        <f>362820</f>
        <v>362820</v>
      </c>
      <c r="U315" s="30">
        <f>237650</f>
        <v>237650</v>
      </c>
      <c r="V315" s="30">
        <f>1986639195</f>
        <v>1986639195</v>
      </c>
      <c r="W315" s="30">
        <f>1299658305</f>
        <v>1299658305</v>
      </c>
      <c r="X315" s="34">
        <f>19</f>
        <v>19</v>
      </c>
    </row>
    <row r="316" spans="1:24">
      <c r="A316" s="25" t="s">
        <v>1078</v>
      </c>
      <c r="B316" s="25" t="s">
        <v>743</v>
      </c>
      <c r="C316" s="25" t="s">
        <v>744</v>
      </c>
      <c r="D316" s="25" t="s">
        <v>745</v>
      </c>
      <c r="E316" s="26" t="s">
        <v>43</v>
      </c>
      <c r="F316" s="27" t="s">
        <v>43</v>
      </c>
      <c r="G316" s="28" t="s">
        <v>43</v>
      </c>
      <c r="H316" s="29"/>
      <c r="I316" s="29" t="s">
        <v>44</v>
      </c>
      <c r="J316" s="30">
        <v>10</v>
      </c>
      <c r="K316" s="31">
        <f>3900</f>
        <v>3900</v>
      </c>
      <c r="L316" s="32" t="s">
        <v>675</v>
      </c>
      <c r="M316" s="31">
        <f>3900</f>
        <v>3900</v>
      </c>
      <c r="N316" s="32" t="s">
        <v>675</v>
      </c>
      <c r="O316" s="31">
        <f>3808</f>
        <v>3808</v>
      </c>
      <c r="P316" s="32" t="s">
        <v>679</v>
      </c>
      <c r="Q316" s="31">
        <f>3856</f>
        <v>3856</v>
      </c>
      <c r="R316" s="32" t="s">
        <v>681</v>
      </c>
      <c r="S316" s="33">
        <f>3849.89</f>
        <v>3849.89</v>
      </c>
      <c r="T316" s="30">
        <f>1218760</f>
        <v>1218760</v>
      </c>
      <c r="U316" s="30">
        <f>790720</f>
        <v>790720</v>
      </c>
      <c r="V316" s="30">
        <f>4681457636</f>
        <v>4681457636</v>
      </c>
      <c r="W316" s="30">
        <f>3035055646</f>
        <v>3035055646</v>
      </c>
      <c r="X316" s="34">
        <f>19</f>
        <v>19</v>
      </c>
    </row>
    <row r="317" spans="1:24">
      <c r="A317" s="25" t="s">
        <v>1078</v>
      </c>
      <c r="B317" s="25" t="s">
        <v>746</v>
      </c>
      <c r="C317" s="25" t="s">
        <v>747</v>
      </c>
      <c r="D317" s="25" t="s">
        <v>748</v>
      </c>
      <c r="E317" s="26" t="s">
        <v>43</v>
      </c>
      <c r="F317" s="27" t="s">
        <v>43</v>
      </c>
      <c r="G317" s="28" t="s">
        <v>43</v>
      </c>
      <c r="H317" s="29"/>
      <c r="I317" s="29" t="s">
        <v>44</v>
      </c>
      <c r="J317" s="30">
        <v>10</v>
      </c>
      <c r="K317" s="31">
        <f>659.4</f>
        <v>659.4</v>
      </c>
      <c r="L317" s="32" t="s">
        <v>675</v>
      </c>
      <c r="M317" s="31">
        <f>689</f>
        <v>689</v>
      </c>
      <c r="N317" s="32" t="s">
        <v>682</v>
      </c>
      <c r="O317" s="31">
        <f>641.3</f>
        <v>641.29999999999995</v>
      </c>
      <c r="P317" s="32" t="s">
        <v>683</v>
      </c>
      <c r="Q317" s="31">
        <f>649.4</f>
        <v>649.4</v>
      </c>
      <c r="R317" s="32" t="s">
        <v>681</v>
      </c>
      <c r="S317" s="33">
        <f>649.02</f>
        <v>649.02</v>
      </c>
      <c r="T317" s="30">
        <f>53110</f>
        <v>53110</v>
      </c>
      <c r="U317" s="30">
        <f>30880</f>
        <v>30880</v>
      </c>
      <c r="V317" s="30">
        <f>34436190</f>
        <v>34436190</v>
      </c>
      <c r="W317" s="30">
        <f>20071224</f>
        <v>20071224</v>
      </c>
      <c r="X317" s="34">
        <f>18</f>
        <v>18</v>
      </c>
    </row>
    <row r="318" spans="1:24">
      <c r="A318" s="25" t="s">
        <v>1078</v>
      </c>
      <c r="B318" s="25" t="s">
        <v>749</v>
      </c>
      <c r="C318" s="25" t="s">
        <v>750</v>
      </c>
      <c r="D318" s="25" t="s">
        <v>751</v>
      </c>
      <c r="E318" s="26" t="s">
        <v>43</v>
      </c>
      <c r="F318" s="27" t="s">
        <v>43</v>
      </c>
      <c r="G318" s="28" t="s">
        <v>43</v>
      </c>
      <c r="H318" s="29"/>
      <c r="I318" s="29" t="s">
        <v>44</v>
      </c>
      <c r="J318" s="30">
        <v>1</v>
      </c>
      <c r="K318" s="31">
        <f>2241</f>
        <v>2241</v>
      </c>
      <c r="L318" s="32" t="s">
        <v>675</v>
      </c>
      <c r="M318" s="31">
        <f>2399</f>
        <v>2399</v>
      </c>
      <c r="N318" s="32" t="s">
        <v>760</v>
      </c>
      <c r="O318" s="31">
        <f>2233</f>
        <v>2233</v>
      </c>
      <c r="P318" s="32" t="s">
        <v>675</v>
      </c>
      <c r="Q318" s="31">
        <f>2378</f>
        <v>2378</v>
      </c>
      <c r="R318" s="32" t="s">
        <v>681</v>
      </c>
      <c r="S318" s="33">
        <f>2337.11</f>
        <v>2337.11</v>
      </c>
      <c r="T318" s="30">
        <f>82837</f>
        <v>82837</v>
      </c>
      <c r="U318" s="30" t="str">
        <f>"－"</f>
        <v>－</v>
      </c>
      <c r="V318" s="30">
        <f>197539635</f>
        <v>197539635</v>
      </c>
      <c r="W318" s="30" t="str">
        <f>"－"</f>
        <v>－</v>
      </c>
      <c r="X318" s="34">
        <f>19</f>
        <v>19</v>
      </c>
    </row>
    <row r="319" spans="1:24">
      <c r="A319" s="25" t="s">
        <v>1078</v>
      </c>
      <c r="B319" s="25" t="s">
        <v>752</v>
      </c>
      <c r="C319" s="25" t="s">
        <v>1031</v>
      </c>
      <c r="D319" s="25" t="s">
        <v>1030</v>
      </c>
      <c r="E319" s="26" t="s">
        <v>43</v>
      </c>
      <c r="F319" s="27" t="s">
        <v>43</v>
      </c>
      <c r="G319" s="28" t="s">
        <v>43</v>
      </c>
      <c r="H319" s="29"/>
      <c r="I319" s="29" t="s">
        <v>44</v>
      </c>
      <c r="J319" s="30">
        <v>1</v>
      </c>
      <c r="K319" s="31">
        <f>2112</f>
        <v>2112</v>
      </c>
      <c r="L319" s="32" t="s">
        <v>675</v>
      </c>
      <c r="M319" s="31">
        <f>2227</f>
        <v>2227</v>
      </c>
      <c r="N319" s="32" t="s">
        <v>681</v>
      </c>
      <c r="O319" s="31">
        <f>2105</f>
        <v>2105</v>
      </c>
      <c r="P319" s="32" t="s">
        <v>675</v>
      </c>
      <c r="Q319" s="31">
        <f>2186</f>
        <v>2186</v>
      </c>
      <c r="R319" s="32" t="s">
        <v>681</v>
      </c>
      <c r="S319" s="33">
        <f>2170.53</f>
        <v>2170.5300000000002</v>
      </c>
      <c r="T319" s="30">
        <f>159397</f>
        <v>159397</v>
      </c>
      <c r="U319" s="30">
        <f>150000</f>
        <v>150000</v>
      </c>
      <c r="V319" s="30">
        <f>344924515</f>
        <v>344924515</v>
      </c>
      <c r="W319" s="30">
        <f>324507000</f>
        <v>324507000</v>
      </c>
      <c r="X319" s="34">
        <f>19</f>
        <v>19</v>
      </c>
    </row>
    <row r="320" spans="1:24">
      <c r="A320" s="25" t="s">
        <v>1078</v>
      </c>
      <c r="B320" s="25" t="s">
        <v>753</v>
      </c>
      <c r="C320" s="25" t="s">
        <v>754</v>
      </c>
      <c r="D320" s="25" t="s">
        <v>755</v>
      </c>
      <c r="E320" s="26" t="s">
        <v>43</v>
      </c>
      <c r="F320" s="27" t="s">
        <v>43</v>
      </c>
      <c r="G320" s="28" t="s">
        <v>43</v>
      </c>
      <c r="H320" s="29"/>
      <c r="I320" s="29" t="s">
        <v>44</v>
      </c>
      <c r="J320" s="30">
        <v>1</v>
      </c>
      <c r="K320" s="31">
        <f>8021</f>
        <v>8021</v>
      </c>
      <c r="L320" s="32" t="s">
        <v>675</v>
      </c>
      <c r="M320" s="31">
        <f>8299</f>
        <v>8299</v>
      </c>
      <c r="N320" s="32" t="s">
        <v>681</v>
      </c>
      <c r="O320" s="31">
        <f>8021</f>
        <v>8021</v>
      </c>
      <c r="P320" s="32" t="s">
        <v>675</v>
      </c>
      <c r="Q320" s="31">
        <f>8299</f>
        <v>8299</v>
      </c>
      <c r="R320" s="32" t="s">
        <v>681</v>
      </c>
      <c r="S320" s="33">
        <f>8195.05</f>
        <v>8195.0499999999993</v>
      </c>
      <c r="T320" s="30">
        <f>276393</f>
        <v>276393</v>
      </c>
      <c r="U320" s="30">
        <f>195290</f>
        <v>195290</v>
      </c>
      <c r="V320" s="30">
        <f>2268292157</f>
        <v>2268292157</v>
      </c>
      <c r="W320" s="30">
        <f>1600774145</f>
        <v>1600774145</v>
      </c>
      <c r="X320" s="34">
        <f>19</f>
        <v>19</v>
      </c>
    </row>
    <row r="321" spans="1:24">
      <c r="A321" s="25" t="s">
        <v>1078</v>
      </c>
      <c r="B321" s="25" t="s">
        <v>756</v>
      </c>
      <c r="C321" s="25" t="s">
        <v>757</v>
      </c>
      <c r="D321" s="25" t="s">
        <v>758</v>
      </c>
      <c r="E321" s="26" t="s">
        <v>43</v>
      </c>
      <c r="F321" s="27" t="s">
        <v>43</v>
      </c>
      <c r="G321" s="28" t="s">
        <v>43</v>
      </c>
      <c r="H321" s="29"/>
      <c r="I321" s="29" t="s">
        <v>44</v>
      </c>
      <c r="J321" s="30">
        <v>1</v>
      </c>
      <c r="K321" s="31">
        <f>5812</f>
        <v>5812</v>
      </c>
      <c r="L321" s="32" t="s">
        <v>675</v>
      </c>
      <c r="M321" s="31">
        <f>5825</f>
        <v>5825</v>
      </c>
      <c r="N321" s="32" t="s">
        <v>674</v>
      </c>
      <c r="O321" s="31">
        <f>5679</f>
        <v>5679</v>
      </c>
      <c r="P321" s="32" t="s">
        <v>679</v>
      </c>
      <c r="Q321" s="31">
        <f>5755</f>
        <v>5755</v>
      </c>
      <c r="R321" s="32" t="s">
        <v>681</v>
      </c>
      <c r="S321" s="33">
        <f>5738.63</f>
        <v>5738.63</v>
      </c>
      <c r="T321" s="30">
        <f>1071106</f>
        <v>1071106</v>
      </c>
      <c r="U321" s="30">
        <f>1057017</f>
        <v>1057017</v>
      </c>
      <c r="V321" s="30">
        <f>6167830388</f>
        <v>6167830388</v>
      </c>
      <c r="W321" s="30">
        <f>6086747959</f>
        <v>6086747959</v>
      </c>
      <c r="X321" s="34">
        <f>19</f>
        <v>19</v>
      </c>
    </row>
    <row r="322" spans="1:24">
      <c r="A322" s="25" t="s">
        <v>1078</v>
      </c>
      <c r="B322" s="25" t="s">
        <v>762</v>
      </c>
      <c r="C322" s="25" t="s">
        <v>763</v>
      </c>
      <c r="D322" s="25" t="s">
        <v>764</v>
      </c>
      <c r="E322" s="26" t="s">
        <v>43</v>
      </c>
      <c r="F322" s="27" t="s">
        <v>43</v>
      </c>
      <c r="G322" s="28" t="s">
        <v>43</v>
      </c>
      <c r="H322" s="29"/>
      <c r="I322" s="29" t="s">
        <v>44</v>
      </c>
      <c r="J322" s="30">
        <v>1</v>
      </c>
      <c r="K322" s="31">
        <f>21785</f>
        <v>21785</v>
      </c>
      <c r="L322" s="32" t="s">
        <v>675</v>
      </c>
      <c r="M322" s="31">
        <f>24110</f>
        <v>24110</v>
      </c>
      <c r="N322" s="32" t="s">
        <v>777</v>
      </c>
      <c r="O322" s="31">
        <f>21730</f>
        <v>21730</v>
      </c>
      <c r="P322" s="32" t="s">
        <v>675</v>
      </c>
      <c r="Q322" s="31">
        <f>23775</f>
        <v>23775</v>
      </c>
      <c r="R322" s="32" t="s">
        <v>681</v>
      </c>
      <c r="S322" s="33">
        <f>23168.16</f>
        <v>23168.16</v>
      </c>
      <c r="T322" s="30">
        <f>454239</f>
        <v>454239</v>
      </c>
      <c r="U322" s="30">
        <f>45</f>
        <v>45</v>
      </c>
      <c r="V322" s="30">
        <f>10468191205</f>
        <v>10468191205</v>
      </c>
      <c r="W322" s="30">
        <f>1020600</f>
        <v>1020600</v>
      </c>
      <c r="X322" s="34">
        <f>19</f>
        <v>19</v>
      </c>
    </row>
    <row r="323" spans="1:24">
      <c r="A323" s="25" t="s">
        <v>1078</v>
      </c>
      <c r="B323" s="25" t="s">
        <v>765</v>
      </c>
      <c r="C323" s="25" t="s">
        <v>766</v>
      </c>
      <c r="D323" s="25" t="s">
        <v>767</v>
      </c>
      <c r="E323" s="26" t="s">
        <v>43</v>
      </c>
      <c r="F323" s="27" t="s">
        <v>43</v>
      </c>
      <c r="G323" s="28" t="s">
        <v>43</v>
      </c>
      <c r="H323" s="29"/>
      <c r="I323" s="29" t="s">
        <v>44</v>
      </c>
      <c r="J323" s="30">
        <v>1</v>
      </c>
      <c r="K323" s="31">
        <f>10515</f>
        <v>10515</v>
      </c>
      <c r="L323" s="32" t="s">
        <v>675</v>
      </c>
      <c r="M323" s="31">
        <f>11295</f>
        <v>11295</v>
      </c>
      <c r="N323" s="32" t="s">
        <v>777</v>
      </c>
      <c r="O323" s="31">
        <f>10435</f>
        <v>10435</v>
      </c>
      <c r="P323" s="32" t="s">
        <v>674</v>
      </c>
      <c r="Q323" s="31">
        <f>11110</f>
        <v>11110</v>
      </c>
      <c r="R323" s="32" t="s">
        <v>681</v>
      </c>
      <c r="S323" s="33">
        <f>10908.16</f>
        <v>10908.16</v>
      </c>
      <c r="T323" s="30">
        <f>1000597</f>
        <v>1000597</v>
      </c>
      <c r="U323" s="30">
        <f>273551</f>
        <v>273551</v>
      </c>
      <c r="V323" s="30">
        <f>10902366239</f>
        <v>10902366239</v>
      </c>
      <c r="W323" s="30">
        <f>2995297799</f>
        <v>2995297799</v>
      </c>
      <c r="X323" s="34">
        <f>19</f>
        <v>19</v>
      </c>
    </row>
    <row r="324" spans="1:24">
      <c r="A324" s="25" t="s">
        <v>1078</v>
      </c>
      <c r="B324" s="25" t="s">
        <v>768</v>
      </c>
      <c r="C324" s="25" t="s">
        <v>769</v>
      </c>
      <c r="D324" s="25" t="s">
        <v>770</v>
      </c>
      <c r="E324" s="26" t="s">
        <v>43</v>
      </c>
      <c r="F324" s="27" t="s">
        <v>43</v>
      </c>
      <c r="G324" s="28" t="s">
        <v>43</v>
      </c>
      <c r="H324" s="29"/>
      <c r="I324" s="29" t="s">
        <v>44</v>
      </c>
      <c r="J324" s="30">
        <v>1</v>
      </c>
      <c r="K324" s="31">
        <f>22190</f>
        <v>22190</v>
      </c>
      <c r="L324" s="32" t="s">
        <v>675</v>
      </c>
      <c r="M324" s="31">
        <f>22580</f>
        <v>22580</v>
      </c>
      <c r="N324" s="32" t="s">
        <v>674</v>
      </c>
      <c r="O324" s="31">
        <f>20875</f>
        <v>20875</v>
      </c>
      <c r="P324" s="32" t="s">
        <v>777</v>
      </c>
      <c r="Q324" s="31">
        <f>21225</f>
        <v>21225</v>
      </c>
      <c r="R324" s="32" t="s">
        <v>681</v>
      </c>
      <c r="S324" s="33">
        <f>21632.11</f>
        <v>21632.11</v>
      </c>
      <c r="T324" s="30">
        <f>264247</f>
        <v>264247</v>
      </c>
      <c r="U324" s="30">
        <f>199963</f>
        <v>199963</v>
      </c>
      <c r="V324" s="30">
        <f>5847519345</f>
        <v>5847519345</v>
      </c>
      <c r="W324" s="30">
        <f>4453480305</f>
        <v>4453480305</v>
      </c>
      <c r="X324" s="34">
        <f>19</f>
        <v>19</v>
      </c>
    </row>
    <row r="325" spans="1:24">
      <c r="A325" s="25" t="s">
        <v>1078</v>
      </c>
      <c r="B325" s="25" t="s">
        <v>771</v>
      </c>
      <c r="C325" s="25" t="s">
        <v>772</v>
      </c>
      <c r="D325" s="25" t="s">
        <v>773</v>
      </c>
      <c r="E325" s="26" t="s">
        <v>43</v>
      </c>
      <c r="F325" s="27" t="s">
        <v>43</v>
      </c>
      <c r="G325" s="28" t="s">
        <v>43</v>
      </c>
      <c r="H325" s="29"/>
      <c r="I325" s="29" t="s">
        <v>44</v>
      </c>
      <c r="J325" s="30">
        <v>10</v>
      </c>
      <c r="K325" s="31">
        <f>4220</f>
        <v>4220</v>
      </c>
      <c r="L325" s="32" t="s">
        <v>675</v>
      </c>
      <c r="M325" s="31">
        <f>4220</f>
        <v>4220</v>
      </c>
      <c r="N325" s="32" t="s">
        <v>675</v>
      </c>
      <c r="O325" s="31">
        <f>4124</f>
        <v>4124</v>
      </c>
      <c r="P325" s="32" t="s">
        <v>680</v>
      </c>
      <c r="Q325" s="31">
        <f>4200</f>
        <v>4200</v>
      </c>
      <c r="R325" s="32" t="s">
        <v>681</v>
      </c>
      <c r="S325" s="33">
        <f>4173.11</f>
        <v>4173.1099999999997</v>
      </c>
      <c r="T325" s="30">
        <f>279340</f>
        <v>279340</v>
      </c>
      <c r="U325" s="30">
        <f>218000</f>
        <v>218000</v>
      </c>
      <c r="V325" s="30">
        <f>1162542470</f>
        <v>1162542470</v>
      </c>
      <c r="W325" s="30">
        <f>907600200</f>
        <v>907600200</v>
      </c>
      <c r="X325" s="34">
        <f>19</f>
        <v>19</v>
      </c>
    </row>
    <row r="326" spans="1:24">
      <c r="A326" s="25" t="s">
        <v>1078</v>
      </c>
      <c r="B326" s="25" t="s">
        <v>774</v>
      </c>
      <c r="C326" s="25" t="s">
        <v>775</v>
      </c>
      <c r="D326" s="25" t="s">
        <v>776</v>
      </c>
      <c r="E326" s="26" t="s">
        <v>43</v>
      </c>
      <c r="F326" s="27" t="s">
        <v>43</v>
      </c>
      <c r="G326" s="28" t="s">
        <v>43</v>
      </c>
      <c r="H326" s="29"/>
      <c r="I326" s="29" t="s">
        <v>44</v>
      </c>
      <c r="J326" s="30">
        <v>10</v>
      </c>
      <c r="K326" s="31">
        <f>5159</f>
        <v>5159</v>
      </c>
      <c r="L326" s="32" t="s">
        <v>675</v>
      </c>
      <c r="M326" s="31">
        <f>5185</f>
        <v>5185</v>
      </c>
      <c r="N326" s="32" t="s">
        <v>681</v>
      </c>
      <c r="O326" s="31">
        <f>5080</f>
        <v>5080</v>
      </c>
      <c r="P326" s="32" t="s">
        <v>678</v>
      </c>
      <c r="Q326" s="31">
        <f>5177</f>
        <v>5177</v>
      </c>
      <c r="R326" s="32" t="s">
        <v>681</v>
      </c>
      <c r="S326" s="33">
        <f>5129.53</f>
        <v>5129.53</v>
      </c>
      <c r="T326" s="30">
        <f>750300</f>
        <v>750300</v>
      </c>
      <c r="U326" s="30">
        <f>721800</f>
        <v>721800</v>
      </c>
      <c r="V326" s="30">
        <f>3833958348</f>
        <v>3833958348</v>
      </c>
      <c r="W326" s="30">
        <f>3687427588</f>
        <v>3687427588</v>
      </c>
      <c r="X326" s="34">
        <f>19</f>
        <v>19</v>
      </c>
    </row>
    <row r="327" spans="1:24">
      <c r="A327" s="25" t="s">
        <v>1078</v>
      </c>
      <c r="B327" s="25" t="s">
        <v>786</v>
      </c>
      <c r="C327" s="25" t="s">
        <v>787</v>
      </c>
      <c r="D327" s="25" t="s">
        <v>788</v>
      </c>
      <c r="E327" s="26" t="s">
        <v>43</v>
      </c>
      <c r="F327" s="27" t="s">
        <v>43</v>
      </c>
      <c r="G327" s="28" t="s">
        <v>43</v>
      </c>
      <c r="H327" s="29"/>
      <c r="I327" s="29" t="s">
        <v>44</v>
      </c>
      <c r="J327" s="30">
        <v>10</v>
      </c>
      <c r="K327" s="31">
        <f>2201</f>
        <v>2201</v>
      </c>
      <c r="L327" s="32" t="s">
        <v>675</v>
      </c>
      <c r="M327" s="31">
        <f>2360</f>
        <v>2360</v>
      </c>
      <c r="N327" s="32" t="s">
        <v>777</v>
      </c>
      <c r="O327" s="31">
        <f>2180.5</f>
        <v>2180.5</v>
      </c>
      <c r="P327" s="32" t="s">
        <v>674</v>
      </c>
      <c r="Q327" s="31">
        <f>2321.5</f>
        <v>2321.5</v>
      </c>
      <c r="R327" s="32" t="s">
        <v>681</v>
      </c>
      <c r="S327" s="33">
        <f>2279.21</f>
        <v>2279.21</v>
      </c>
      <c r="T327" s="30">
        <f>3342780</f>
        <v>3342780</v>
      </c>
      <c r="U327" s="30">
        <f>218660</f>
        <v>218660</v>
      </c>
      <c r="V327" s="30">
        <f>7601212603</f>
        <v>7601212603</v>
      </c>
      <c r="W327" s="30">
        <f>497624498</f>
        <v>497624498</v>
      </c>
      <c r="X327" s="34">
        <f>19</f>
        <v>19</v>
      </c>
    </row>
    <row r="328" spans="1:24">
      <c r="A328" s="25" t="s">
        <v>1078</v>
      </c>
      <c r="B328" s="25" t="s">
        <v>789</v>
      </c>
      <c r="C328" s="25" t="s">
        <v>790</v>
      </c>
      <c r="D328" s="25" t="s">
        <v>791</v>
      </c>
      <c r="E328" s="26" t="s">
        <v>43</v>
      </c>
      <c r="F328" s="27" t="s">
        <v>43</v>
      </c>
      <c r="G328" s="28" t="s">
        <v>43</v>
      </c>
      <c r="H328" s="29"/>
      <c r="I328" s="29" t="s">
        <v>44</v>
      </c>
      <c r="J328" s="30">
        <v>10</v>
      </c>
      <c r="K328" s="31">
        <f>2040</f>
        <v>2040</v>
      </c>
      <c r="L328" s="32" t="s">
        <v>675</v>
      </c>
      <c r="M328" s="31">
        <f>2089.5</f>
        <v>2089.5</v>
      </c>
      <c r="N328" s="32" t="s">
        <v>681</v>
      </c>
      <c r="O328" s="31">
        <f>2012.5</f>
        <v>2012.5</v>
      </c>
      <c r="P328" s="32" t="s">
        <v>680</v>
      </c>
      <c r="Q328" s="31">
        <f>2089</f>
        <v>2089</v>
      </c>
      <c r="R328" s="32" t="s">
        <v>681</v>
      </c>
      <c r="S328" s="33">
        <f>2050.26</f>
        <v>2050.2600000000002</v>
      </c>
      <c r="T328" s="30">
        <f>2558070</f>
        <v>2558070</v>
      </c>
      <c r="U328" s="30">
        <f>1997020</f>
        <v>1997020</v>
      </c>
      <c r="V328" s="30">
        <f>5230694837</f>
        <v>5230694837</v>
      </c>
      <c r="W328" s="30">
        <f>4083899957</f>
        <v>4083899957</v>
      </c>
      <c r="X328" s="34">
        <f>19</f>
        <v>19</v>
      </c>
    </row>
    <row r="329" spans="1:24">
      <c r="A329" s="25" t="s">
        <v>1078</v>
      </c>
      <c r="B329" s="25" t="s">
        <v>792</v>
      </c>
      <c r="C329" s="25" t="s">
        <v>793</v>
      </c>
      <c r="D329" s="25" t="s">
        <v>794</v>
      </c>
      <c r="E329" s="26" t="s">
        <v>43</v>
      </c>
      <c r="F329" s="27" t="s">
        <v>43</v>
      </c>
      <c r="G329" s="28" t="s">
        <v>43</v>
      </c>
      <c r="H329" s="29"/>
      <c r="I329" s="29" t="s">
        <v>44</v>
      </c>
      <c r="J329" s="30">
        <v>1</v>
      </c>
      <c r="K329" s="31">
        <f>1780</f>
        <v>1780</v>
      </c>
      <c r="L329" s="32" t="s">
        <v>675</v>
      </c>
      <c r="M329" s="31">
        <f>1935</f>
        <v>1935</v>
      </c>
      <c r="N329" s="32" t="s">
        <v>760</v>
      </c>
      <c r="O329" s="31">
        <f>1768</f>
        <v>1768</v>
      </c>
      <c r="P329" s="32" t="s">
        <v>675</v>
      </c>
      <c r="Q329" s="31">
        <f>1878</f>
        <v>1878</v>
      </c>
      <c r="R329" s="32" t="s">
        <v>681</v>
      </c>
      <c r="S329" s="33">
        <f>1860.05</f>
        <v>1860.05</v>
      </c>
      <c r="T329" s="30">
        <f>14135</f>
        <v>14135</v>
      </c>
      <c r="U329" s="30" t="str">
        <f>"－"</f>
        <v>－</v>
      </c>
      <c r="V329" s="30">
        <f>26317256</f>
        <v>26317256</v>
      </c>
      <c r="W329" s="30" t="str">
        <f>"－"</f>
        <v>－</v>
      </c>
      <c r="X329" s="34">
        <f>19</f>
        <v>19</v>
      </c>
    </row>
    <row r="330" spans="1:24">
      <c r="A330" s="25" t="s">
        <v>1078</v>
      </c>
      <c r="B330" s="25" t="s">
        <v>795</v>
      </c>
      <c r="C330" s="25" t="s">
        <v>796</v>
      </c>
      <c r="D330" s="25" t="s">
        <v>797</v>
      </c>
      <c r="E330" s="26" t="s">
        <v>43</v>
      </c>
      <c r="F330" s="27" t="s">
        <v>43</v>
      </c>
      <c r="G330" s="28" t="s">
        <v>43</v>
      </c>
      <c r="H330" s="29"/>
      <c r="I330" s="29" t="s">
        <v>44</v>
      </c>
      <c r="J330" s="30">
        <v>1</v>
      </c>
      <c r="K330" s="31">
        <f>1816</f>
        <v>1816</v>
      </c>
      <c r="L330" s="32" t="s">
        <v>675</v>
      </c>
      <c r="M330" s="31">
        <f>1971</f>
        <v>1971</v>
      </c>
      <c r="N330" s="32" t="s">
        <v>778</v>
      </c>
      <c r="O330" s="31">
        <f>1801</f>
        <v>1801</v>
      </c>
      <c r="P330" s="32" t="s">
        <v>675</v>
      </c>
      <c r="Q330" s="31">
        <f>1924</f>
        <v>1924</v>
      </c>
      <c r="R330" s="32" t="s">
        <v>676</v>
      </c>
      <c r="S330" s="33">
        <f>1915.44</f>
        <v>1915.44</v>
      </c>
      <c r="T330" s="30">
        <f>1836</f>
        <v>1836</v>
      </c>
      <c r="U330" s="30" t="str">
        <f>"－"</f>
        <v>－</v>
      </c>
      <c r="V330" s="30">
        <f>3555799</f>
        <v>3555799</v>
      </c>
      <c r="W330" s="30" t="str">
        <f>"－"</f>
        <v>－</v>
      </c>
      <c r="X330" s="34">
        <f>16</f>
        <v>16</v>
      </c>
    </row>
    <row r="331" spans="1:24">
      <c r="A331" s="25" t="s">
        <v>1078</v>
      </c>
      <c r="B331" s="25" t="s">
        <v>798</v>
      </c>
      <c r="C331" s="25" t="s">
        <v>799</v>
      </c>
      <c r="D331" s="25" t="s">
        <v>800</v>
      </c>
      <c r="E331" s="26" t="s">
        <v>43</v>
      </c>
      <c r="F331" s="27" t="s">
        <v>43</v>
      </c>
      <c r="G331" s="28" t="s">
        <v>43</v>
      </c>
      <c r="H331" s="29"/>
      <c r="I331" s="29" t="s">
        <v>44</v>
      </c>
      <c r="J331" s="30">
        <v>1</v>
      </c>
      <c r="K331" s="31">
        <f>3875</f>
        <v>3875</v>
      </c>
      <c r="L331" s="32" t="s">
        <v>675</v>
      </c>
      <c r="M331" s="31">
        <f>4220</f>
        <v>4220</v>
      </c>
      <c r="N331" s="32" t="s">
        <v>683</v>
      </c>
      <c r="O331" s="31">
        <f>3875</f>
        <v>3875</v>
      </c>
      <c r="P331" s="32" t="s">
        <v>675</v>
      </c>
      <c r="Q331" s="31">
        <f>4155</f>
        <v>4155</v>
      </c>
      <c r="R331" s="32" t="s">
        <v>681</v>
      </c>
      <c r="S331" s="33">
        <f>4091.05</f>
        <v>4091.05</v>
      </c>
      <c r="T331" s="30">
        <f>75706</f>
        <v>75706</v>
      </c>
      <c r="U331" s="30">
        <f>50802</f>
        <v>50802</v>
      </c>
      <c r="V331" s="30">
        <f>311604655</f>
        <v>311604655</v>
      </c>
      <c r="W331" s="30">
        <f>209355040</f>
        <v>209355040</v>
      </c>
      <c r="X331" s="34">
        <f>19</f>
        <v>19</v>
      </c>
    </row>
    <row r="332" spans="1:24">
      <c r="A332" s="25" t="s">
        <v>1078</v>
      </c>
      <c r="B332" s="25" t="s">
        <v>801</v>
      </c>
      <c r="C332" s="25" t="s">
        <v>802</v>
      </c>
      <c r="D332" s="25" t="s">
        <v>803</v>
      </c>
      <c r="E332" s="26" t="s">
        <v>43</v>
      </c>
      <c r="F332" s="27" t="s">
        <v>43</v>
      </c>
      <c r="G332" s="28" t="s">
        <v>43</v>
      </c>
      <c r="H332" s="29"/>
      <c r="I332" s="29" t="s">
        <v>44</v>
      </c>
      <c r="J332" s="30">
        <v>10</v>
      </c>
      <c r="K332" s="31">
        <f>2335.5</f>
        <v>2335.5</v>
      </c>
      <c r="L332" s="32" t="s">
        <v>675</v>
      </c>
      <c r="M332" s="31">
        <f>2561</f>
        <v>2561</v>
      </c>
      <c r="N332" s="32" t="s">
        <v>778</v>
      </c>
      <c r="O332" s="31">
        <f>2335.5</f>
        <v>2335.5</v>
      </c>
      <c r="P332" s="32" t="s">
        <v>675</v>
      </c>
      <c r="Q332" s="31">
        <f>2521.5</f>
        <v>2521.5</v>
      </c>
      <c r="R332" s="32" t="s">
        <v>681</v>
      </c>
      <c r="S332" s="33">
        <f>2474.96</f>
        <v>2474.96</v>
      </c>
      <c r="T332" s="30">
        <f>760</f>
        <v>760</v>
      </c>
      <c r="U332" s="30" t="str">
        <f>"－"</f>
        <v>－</v>
      </c>
      <c r="V332" s="30">
        <f>1882945</f>
        <v>1882945</v>
      </c>
      <c r="W332" s="30" t="str">
        <f>"－"</f>
        <v>－</v>
      </c>
      <c r="X332" s="34">
        <f>14</f>
        <v>14</v>
      </c>
    </row>
    <row r="333" spans="1:24">
      <c r="A333" s="25" t="s">
        <v>1078</v>
      </c>
      <c r="B333" s="25" t="s">
        <v>812</v>
      </c>
      <c r="C333" s="25" t="s">
        <v>813</v>
      </c>
      <c r="D333" s="25" t="s">
        <v>814</v>
      </c>
      <c r="E333" s="26" t="s">
        <v>43</v>
      </c>
      <c r="F333" s="27" t="s">
        <v>43</v>
      </c>
      <c r="G333" s="28" t="s">
        <v>43</v>
      </c>
      <c r="H333" s="29"/>
      <c r="I333" s="29" t="s">
        <v>44</v>
      </c>
      <c r="J333" s="30">
        <v>10</v>
      </c>
      <c r="K333" s="31">
        <f>232.9</f>
        <v>232.9</v>
      </c>
      <c r="L333" s="32" t="s">
        <v>675</v>
      </c>
      <c r="M333" s="31">
        <f>255</f>
        <v>255</v>
      </c>
      <c r="N333" s="32" t="s">
        <v>778</v>
      </c>
      <c r="O333" s="31">
        <f>232.9</f>
        <v>232.9</v>
      </c>
      <c r="P333" s="32" t="s">
        <v>675</v>
      </c>
      <c r="Q333" s="31">
        <f>250.8</f>
        <v>250.8</v>
      </c>
      <c r="R333" s="32" t="s">
        <v>681</v>
      </c>
      <c r="S333" s="33">
        <f>245.47</f>
        <v>245.47</v>
      </c>
      <c r="T333" s="30">
        <f>14900</f>
        <v>14900</v>
      </c>
      <c r="U333" s="30" t="str">
        <f>"－"</f>
        <v>－</v>
      </c>
      <c r="V333" s="30">
        <f>3684242</f>
        <v>3684242</v>
      </c>
      <c r="W333" s="30" t="str">
        <f>"－"</f>
        <v>－</v>
      </c>
      <c r="X333" s="34">
        <f>18</f>
        <v>18</v>
      </c>
    </row>
    <row r="334" spans="1:24">
      <c r="A334" s="25" t="s">
        <v>1078</v>
      </c>
      <c r="B334" s="25" t="s">
        <v>804</v>
      </c>
      <c r="C334" s="25" t="s">
        <v>805</v>
      </c>
      <c r="D334" s="25" t="s">
        <v>806</v>
      </c>
      <c r="E334" s="26" t="s">
        <v>43</v>
      </c>
      <c r="F334" s="27" t="s">
        <v>43</v>
      </c>
      <c r="G334" s="28" t="s">
        <v>43</v>
      </c>
      <c r="H334" s="29"/>
      <c r="I334" s="29" t="s">
        <v>44</v>
      </c>
      <c r="J334" s="30">
        <v>10</v>
      </c>
      <c r="K334" s="31">
        <f>183.2</f>
        <v>183.2</v>
      </c>
      <c r="L334" s="32" t="s">
        <v>675</v>
      </c>
      <c r="M334" s="31">
        <f>187.6</f>
        <v>187.6</v>
      </c>
      <c r="N334" s="32" t="s">
        <v>875</v>
      </c>
      <c r="O334" s="31">
        <f>175.7</f>
        <v>175.7</v>
      </c>
      <c r="P334" s="32" t="s">
        <v>675</v>
      </c>
      <c r="Q334" s="31">
        <f>177.8</f>
        <v>177.8</v>
      </c>
      <c r="R334" s="32" t="s">
        <v>681</v>
      </c>
      <c r="S334" s="33">
        <f>179.95</f>
        <v>179.95</v>
      </c>
      <c r="T334" s="30">
        <f>3826320</f>
        <v>3826320</v>
      </c>
      <c r="U334" s="30">
        <f>3812680</f>
        <v>3812680</v>
      </c>
      <c r="V334" s="30">
        <f>685046135</f>
        <v>685046135</v>
      </c>
      <c r="W334" s="30">
        <f>682591756</f>
        <v>682591756</v>
      </c>
      <c r="X334" s="34">
        <f>18</f>
        <v>18</v>
      </c>
    </row>
    <row r="335" spans="1:24">
      <c r="A335" s="25" t="s">
        <v>1078</v>
      </c>
      <c r="B335" s="25" t="s">
        <v>807</v>
      </c>
      <c r="C335" s="25" t="s">
        <v>808</v>
      </c>
      <c r="D335" s="25" t="s">
        <v>809</v>
      </c>
      <c r="E335" s="26" t="s">
        <v>43</v>
      </c>
      <c r="F335" s="27" t="s">
        <v>43</v>
      </c>
      <c r="G335" s="28" t="s">
        <v>43</v>
      </c>
      <c r="H335" s="29"/>
      <c r="I335" s="29" t="s">
        <v>44</v>
      </c>
      <c r="J335" s="30">
        <v>10</v>
      </c>
      <c r="K335" s="31">
        <f>702.2</f>
        <v>702.2</v>
      </c>
      <c r="L335" s="32" t="s">
        <v>675</v>
      </c>
      <c r="M335" s="31">
        <f>703.3</f>
        <v>703.3</v>
      </c>
      <c r="N335" s="32" t="s">
        <v>675</v>
      </c>
      <c r="O335" s="31">
        <f>678.5</f>
        <v>678.5</v>
      </c>
      <c r="P335" s="32" t="s">
        <v>683</v>
      </c>
      <c r="Q335" s="31">
        <f>679.8</f>
        <v>679.8</v>
      </c>
      <c r="R335" s="32" t="s">
        <v>676</v>
      </c>
      <c r="S335" s="33">
        <f>687.72</f>
        <v>687.72</v>
      </c>
      <c r="T335" s="30">
        <f>64140</f>
        <v>64140</v>
      </c>
      <c r="U335" s="30">
        <f>63390</f>
        <v>63390</v>
      </c>
      <c r="V335" s="30">
        <f>44191599</f>
        <v>44191599</v>
      </c>
      <c r="W335" s="30">
        <f>43669311</f>
        <v>43669311</v>
      </c>
      <c r="X335" s="34">
        <f>10</f>
        <v>10</v>
      </c>
    </row>
    <row r="336" spans="1:24">
      <c r="A336" s="25" t="s">
        <v>1078</v>
      </c>
      <c r="B336" s="25" t="s">
        <v>815</v>
      </c>
      <c r="C336" s="25" t="s">
        <v>816</v>
      </c>
      <c r="D336" s="25" t="s">
        <v>817</v>
      </c>
      <c r="E336" s="26" t="s">
        <v>43</v>
      </c>
      <c r="F336" s="27" t="s">
        <v>43</v>
      </c>
      <c r="G336" s="28" t="s">
        <v>43</v>
      </c>
      <c r="H336" s="29"/>
      <c r="I336" s="29" t="s">
        <v>44</v>
      </c>
      <c r="J336" s="30">
        <v>1</v>
      </c>
      <c r="K336" s="31">
        <f>1220</f>
        <v>1220</v>
      </c>
      <c r="L336" s="32" t="s">
        <v>675</v>
      </c>
      <c r="M336" s="31">
        <f>1402</f>
        <v>1402</v>
      </c>
      <c r="N336" s="32" t="s">
        <v>778</v>
      </c>
      <c r="O336" s="31">
        <f>1220</f>
        <v>1220</v>
      </c>
      <c r="P336" s="32" t="s">
        <v>675</v>
      </c>
      <c r="Q336" s="31">
        <f>1371</f>
        <v>1371</v>
      </c>
      <c r="R336" s="32" t="s">
        <v>681</v>
      </c>
      <c r="S336" s="33">
        <f>1338.68</f>
        <v>1338.68</v>
      </c>
      <c r="T336" s="30">
        <f>226866</f>
        <v>226866</v>
      </c>
      <c r="U336" s="30">
        <f>1</f>
        <v>1</v>
      </c>
      <c r="V336" s="30">
        <f>307804358</f>
        <v>307804358</v>
      </c>
      <c r="W336" s="30">
        <f>1371</f>
        <v>1371</v>
      </c>
      <c r="X336" s="34">
        <f>19</f>
        <v>19</v>
      </c>
    </row>
    <row r="337" spans="1:24">
      <c r="A337" s="25" t="s">
        <v>1078</v>
      </c>
      <c r="B337" s="25" t="s">
        <v>818</v>
      </c>
      <c r="C337" s="25" t="s">
        <v>819</v>
      </c>
      <c r="D337" s="25" t="s">
        <v>820</v>
      </c>
      <c r="E337" s="26" t="s">
        <v>43</v>
      </c>
      <c r="F337" s="27" t="s">
        <v>43</v>
      </c>
      <c r="G337" s="28" t="s">
        <v>43</v>
      </c>
      <c r="H337" s="29"/>
      <c r="I337" s="29" t="s">
        <v>44</v>
      </c>
      <c r="J337" s="30">
        <v>1</v>
      </c>
      <c r="K337" s="31">
        <f>941</f>
        <v>941</v>
      </c>
      <c r="L337" s="32" t="s">
        <v>675</v>
      </c>
      <c r="M337" s="31">
        <f>960</f>
        <v>960</v>
      </c>
      <c r="N337" s="32" t="s">
        <v>760</v>
      </c>
      <c r="O337" s="31">
        <f>929</f>
        <v>929</v>
      </c>
      <c r="P337" s="32" t="s">
        <v>679</v>
      </c>
      <c r="Q337" s="31">
        <f>929</f>
        <v>929</v>
      </c>
      <c r="R337" s="32" t="s">
        <v>681</v>
      </c>
      <c r="S337" s="33">
        <f>942</f>
        <v>942</v>
      </c>
      <c r="T337" s="30">
        <f>67854</f>
        <v>67854</v>
      </c>
      <c r="U337" s="30" t="str">
        <f>"－"</f>
        <v>－</v>
      </c>
      <c r="V337" s="30">
        <f>63661687</f>
        <v>63661687</v>
      </c>
      <c r="W337" s="30" t="str">
        <f>"－"</f>
        <v>－</v>
      </c>
      <c r="X337" s="34">
        <f>19</f>
        <v>19</v>
      </c>
    </row>
    <row r="338" spans="1:24">
      <c r="A338" s="25" t="s">
        <v>1078</v>
      </c>
      <c r="B338" s="25" t="s">
        <v>821</v>
      </c>
      <c r="C338" s="25" t="s">
        <v>822</v>
      </c>
      <c r="D338" s="25" t="s">
        <v>823</v>
      </c>
      <c r="E338" s="26" t="s">
        <v>43</v>
      </c>
      <c r="F338" s="27" t="s">
        <v>43</v>
      </c>
      <c r="G338" s="28" t="s">
        <v>43</v>
      </c>
      <c r="H338" s="29"/>
      <c r="I338" s="29" t="s">
        <v>44</v>
      </c>
      <c r="J338" s="30">
        <v>10</v>
      </c>
      <c r="K338" s="31">
        <f>726.3</f>
        <v>726.3</v>
      </c>
      <c r="L338" s="32" t="s">
        <v>675</v>
      </c>
      <c r="M338" s="31">
        <f>755.7</f>
        <v>755.7</v>
      </c>
      <c r="N338" s="32" t="s">
        <v>875</v>
      </c>
      <c r="O338" s="31">
        <f>716.6</f>
        <v>716.6</v>
      </c>
      <c r="P338" s="32" t="s">
        <v>679</v>
      </c>
      <c r="Q338" s="31">
        <f>721.1</f>
        <v>721.1</v>
      </c>
      <c r="R338" s="32" t="s">
        <v>681</v>
      </c>
      <c r="S338" s="33">
        <f>721.5</f>
        <v>721.5</v>
      </c>
      <c r="T338" s="30">
        <f>974650</f>
        <v>974650</v>
      </c>
      <c r="U338" s="30">
        <f>170250</f>
        <v>170250</v>
      </c>
      <c r="V338" s="30">
        <f>703635425</f>
        <v>703635425</v>
      </c>
      <c r="W338" s="30">
        <f>122801194</f>
        <v>122801194</v>
      </c>
      <c r="X338" s="34">
        <f>19</f>
        <v>19</v>
      </c>
    </row>
    <row r="339" spans="1:24">
      <c r="A339" s="25" t="s">
        <v>1078</v>
      </c>
      <c r="B339" s="25" t="s">
        <v>824</v>
      </c>
      <c r="C339" s="25" t="s">
        <v>825</v>
      </c>
      <c r="D339" s="25" t="s">
        <v>826</v>
      </c>
      <c r="E339" s="26" t="s">
        <v>43</v>
      </c>
      <c r="F339" s="27" t="s">
        <v>43</v>
      </c>
      <c r="G339" s="28" t="s">
        <v>43</v>
      </c>
      <c r="H339" s="29"/>
      <c r="I339" s="29" t="s">
        <v>44</v>
      </c>
      <c r="J339" s="30">
        <v>10</v>
      </c>
      <c r="K339" s="31">
        <f>721.9</f>
        <v>721.9</v>
      </c>
      <c r="L339" s="32" t="s">
        <v>675</v>
      </c>
      <c r="M339" s="31">
        <f>721.9</f>
        <v>721.9</v>
      </c>
      <c r="N339" s="32" t="s">
        <v>675</v>
      </c>
      <c r="O339" s="31">
        <f>697</f>
        <v>697</v>
      </c>
      <c r="P339" s="32" t="s">
        <v>679</v>
      </c>
      <c r="Q339" s="31">
        <f>704.2</f>
        <v>704.2</v>
      </c>
      <c r="R339" s="32" t="s">
        <v>681</v>
      </c>
      <c r="S339" s="33">
        <f>705.03</f>
        <v>705.03</v>
      </c>
      <c r="T339" s="30">
        <f>4583740</f>
        <v>4583740</v>
      </c>
      <c r="U339" s="30">
        <f>4406010</f>
        <v>4406010</v>
      </c>
      <c r="V339" s="30">
        <f>3242778336</f>
        <v>3242778336</v>
      </c>
      <c r="W339" s="30">
        <f>3118195716</f>
        <v>3118195716</v>
      </c>
      <c r="X339" s="34">
        <f>19</f>
        <v>19</v>
      </c>
    </row>
    <row r="340" spans="1:24">
      <c r="A340" s="25" t="s">
        <v>1078</v>
      </c>
      <c r="B340" s="25" t="s">
        <v>827</v>
      </c>
      <c r="C340" s="25" t="s">
        <v>828</v>
      </c>
      <c r="D340" s="25" t="s">
        <v>829</v>
      </c>
      <c r="E340" s="26" t="s">
        <v>43</v>
      </c>
      <c r="F340" s="27" t="s">
        <v>43</v>
      </c>
      <c r="G340" s="28" t="s">
        <v>43</v>
      </c>
      <c r="H340" s="29"/>
      <c r="I340" s="29" t="s">
        <v>44</v>
      </c>
      <c r="J340" s="30">
        <v>1</v>
      </c>
      <c r="K340" s="31">
        <f>1211</f>
        <v>1211</v>
      </c>
      <c r="L340" s="32" t="s">
        <v>675</v>
      </c>
      <c r="M340" s="31">
        <f>1219</f>
        <v>1219</v>
      </c>
      <c r="N340" s="32" t="s">
        <v>677</v>
      </c>
      <c r="O340" s="31">
        <f>1187</f>
        <v>1187</v>
      </c>
      <c r="P340" s="32" t="s">
        <v>677</v>
      </c>
      <c r="Q340" s="31">
        <f>1210</f>
        <v>1210</v>
      </c>
      <c r="R340" s="32" t="s">
        <v>681</v>
      </c>
      <c r="S340" s="33">
        <f>1205</f>
        <v>1205</v>
      </c>
      <c r="T340" s="30">
        <f>399481</f>
        <v>399481</v>
      </c>
      <c r="U340" s="30" t="str">
        <f>"－"</f>
        <v>－</v>
      </c>
      <c r="V340" s="30">
        <f>477193696</f>
        <v>477193696</v>
      </c>
      <c r="W340" s="30" t="str">
        <f>"－"</f>
        <v>－</v>
      </c>
      <c r="X340" s="34">
        <f>19</f>
        <v>19</v>
      </c>
    </row>
    <row r="341" spans="1:24">
      <c r="A341" s="25" t="s">
        <v>1078</v>
      </c>
      <c r="B341" s="25" t="s">
        <v>836</v>
      </c>
      <c r="C341" s="25" t="s">
        <v>837</v>
      </c>
      <c r="D341" s="25" t="s">
        <v>838</v>
      </c>
      <c r="E341" s="26" t="s">
        <v>43</v>
      </c>
      <c r="F341" s="27" t="s">
        <v>43</v>
      </c>
      <c r="G341" s="28" t="s">
        <v>43</v>
      </c>
      <c r="H341" s="29"/>
      <c r="I341" s="29" t="s">
        <v>44</v>
      </c>
      <c r="J341" s="30">
        <v>10</v>
      </c>
      <c r="K341" s="31">
        <f>2467</f>
        <v>2467</v>
      </c>
      <c r="L341" s="32" t="s">
        <v>675</v>
      </c>
      <c r="M341" s="31">
        <f>2494</f>
        <v>2494</v>
      </c>
      <c r="N341" s="32" t="s">
        <v>777</v>
      </c>
      <c r="O341" s="31">
        <f>2350</f>
        <v>2350</v>
      </c>
      <c r="P341" s="32" t="s">
        <v>678</v>
      </c>
      <c r="Q341" s="31">
        <f>2494</f>
        <v>2494</v>
      </c>
      <c r="R341" s="32" t="s">
        <v>681</v>
      </c>
      <c r="S341" s="33">
        <f>2409.05</f>
        <v>2409.0500000000002</v>
      </c>
      <c r="T341" s="30">
        <f>48480</f>
        <v>48480</v>
      </c>
      <c r="U341" s="30" t="str">
        <f>"－"</f>
        <v>－</v>
      </c>
      <c r="V341" s="30">
        <f>118228825</f>
        <v>118228825</v>
      </c>
      <c r="W341" s="30" t="str">
        <f>"－"</f>
        <v>－</v>
      </c>
      <c r="X341" s="34">
        <f>19</f>
        <v>19</v>
      </c>
    </row>
    <row r="342" spans="1:24">
      <c r="A342" s="25" t="s">
        <v>1078</v>
      </c>
      <c r="B342" s="25" t="s">
        <v>839</v>
      </c>
      <c r="C342" s="25" t="s">
        <v>840</v>
      </c>
      <c r="D342" s="25" t="s">
        <v>841</v>
      </c>
      <c r="E342" s="26" t="s">
        <v>43</v>
      </c>
      <c r="F342" s="27" t="s">
        <v>43</v>
      </c>
      <c r="G342" s="28" t="s">
        <v>43</v>
      </c>
      <c r="H342" s="29"/>
      <c r="I342" s="29" t="s">
        <v>44</v>
      </c>
      <c r="J342" s="30">
        <v>10</v>
      </c>
      <c r="K342" s="31">
        <f>2393</f>
        <v>2393</v>
      </c>
      <c r="L342" s="32" t="s">
        <v>675</v>
      </c>
      <c r="M342" s="31">
        <f>2445.5</f>
        <v>2445.5</v>
      </c>
      <c r="N342" s="32" t="s">
        <v>676</v>
      </c>
      <c r="O342" s="31">
        <f>2353</f>
        <v>2353</v>
      </c>
      <c r="P342" s="32" t="s">
        <v>678</v>
      </c>
      <c r="Q342" s="31">
        <f>2434.5</f>
        <v>2434.5</v>
      </c>
      <c r="R342" s="32" t="s">
        <v>681</v>
      </c>
      <c r="S342" s="33">
        <f>2398.21</f>
        <v>2398.21</v>
      </c>
      <c r="T342" s="30">
        <f>1364170</f>
        <v>1364170</v>
      </c>
      <c r="U342" s="30">
        <f>836000</f>
        <v>836000</v>
      </c>
      <c r="V342" s="30">
        <f>3273550930</f>
        <v>3273550930</v>
      </c>
      <c r="W342" s="30">
        <f>2009551885</f>
        <v>2009551885</v>
      </c>
      <c r="X342" s="34">
        <f>19</f>
        <v>19</v>
      </c>
    </row>
    <row r="343" spans="1:24">
      <c r="A343" s="25" t="s">
        <v>1078</v>
      </c>
      <c r="B343" s="25" t="s">
        <v>830</v>
      </c>
      <c r="C343" s="25" t="s">
        <v>831</v>
      </c>
      <c r="D343" s="25" t="s">
        <v>832</v>
      </c>
      <c r="E343" s="26" t="s">
        <v>43</v>
      </c>
      <c r="F343" s="27" t="s">
        <v>43</v>
      </c>
      <c r="G343" s="28" t="s">
        <v>43</v>
      </c>
      <c r="H343" s="29"/>
      <c r="I343" s="29" t="s">
        <v>44</v>
      </c>
      <c r="J343" s="30">
        <v>10</v>
      </c>
      <c r="K343" s="31">
        <f>5310</f>
        <v>5310</v>
      </c>
      <c r="L343" s="32" t="s">
        <v>675</v>
      </c>
      <c r="M343" s="31">
        <f>5413</f>
        <v>5413</v>
      </c>
      <c r="N343" s="32" t="s">
        <v>680</v>
      </c>
      <c r="O343" s="31">
        <f>5285</f>
        <v>5285</v>
      </c>
      <c r="P343" s="32" t="s">
        <v>876</v>
      </c>
      <c r="Q343" s="31">
        <f>5358</f>
        <v>5358</v>
      </c>
      <c r="R343" s="32" t="s">
        <v>777</v>
      </c>
      <c r="S343" s="33">
        <f>5341.77</f>
        <v>5341.77</v>
      </c>
      <c r="T343" s="30">
        <f>167480</f>
        <v>167480</v>
      </c>
      <c r="U343" s="30" t="str">
        <f>"－"</f>
        <v>－</v>
      </c>
      <c r="V343" s="30">
        <f>891718540</f>
        <v>891718540</v>
      </c>
      <c r="W343" s="30" t="str">
        <f>"－"</f>
        <v>－</v>
      </c>
      <c r="X343" s="34">
        <f>13</f>
        <v>13</v>
      </c>
    </row>
    <row r="344" spans="1:24">
      <c r="A344" s="25" t="s">
        <v>1078</v>
      </c>
      <c r="B344" s="25" t="s">
        <v>833</v>
      </c>
      <c r="C344" s="25" t="s">
        <v>834</v>
      </c>
      <c r="D344" s="25" t="s">
        <v>835</v>
      </c>
      <c r="E344" s="26" t="s">
        <v>43</v>
      </c>
      <c r="F344" s="27" t="s">
        <v>43</v>
      </c>
      <c r="G344" s="28" t="s">
        <v>43</v>
      </c>
      <c r="H344" s="29"/>
      <c r="I344" s="29" t="s">
        <v>44</v>
      </c>
      <c r="J344" s="30">
        <v>10</v>
      </c>
      <c r="K344" s="31">
        <f>4478</f>
        <v>4478</v>
      </c>
      <c r="L344" s="32" t="s">
        <v>675</v>
      </c>
      <c r="M344" s="31">
        <f>4478</f>
        <v>4478</v>
      </c>
      <c r="N344" s="32" t="s">
        <v>675</v>
      </c>
      <c r="O344" s="31">
        <f>4361</f>
        <v>4361</v>
      </c>
      <c r="P344" s="32" t="s">
        <v>680</v>
      </c>
      <c r="Q344" s="31">
        <f>4441</f>
        <v>4441</v>
      </c>
      <c r="R344" s="32" t="s">
        <v>883</v>
      </c>
      <c r="S344" s="33">
        <f>4407.79</f>
        <v>4407.79</v>
      </c>
      <c r="T344" s="30">
        <f>73310</f>
        <v>73310</v>
      </c>
      <c r="U344" s="30">
        <f>15000</f>
        <v>15000</v>
      </c>
      <c r="V344" s="30">
        <f>323738830</f>
        <v>323738830</v>
      </c>
      <c r="W344" s="30">
        <f>66308000</f>
        <v>66308000</v>
      </c>
      <c r="X344" s="34">
        <f>14</f>
        <v>14</v>
      </c>
    </row>
    <row r="345" spans="1:24">
      <c r="A345" s="25" t="s">
        <v>1078</v>
      </c>
      <c r="B345" s="25" t="s">
        <v>842</v>
      </c>
      <c r="C345" s="25" t="s">
        <v>843</v>
      </c>
      <c r="D345" s="25" t="s">
        <v>844</v>
      </c>
      <c r="E345" s="26" t="s">
        <v>43</v>
      </c>
      <c r="F345" s="27" t="s">
        <v>43</v>
      </c>
      <c r="G345" s="28" t="s">
        <v>43</v>
      </c>
      <c r="H345" s="29"/>
      <c r="I345" s="29" t="s">
        <v>44</v>
      </c>
      <c r="J345" s="30">
        <v>10</v>
      </c>
      <c r="K345" s="31">
        <f>1928</f>
        <v>1928</v>
      </c>
      <c r="L345" s="32" t="s">
        <v>675</v>
      </c>
      <c r="M345" s="31">
        <f>1935</f>
        <v>1935</v>
      </c>
      <c r="N345" s="32" t="s">
        <v>681</v>
      </c>
      <c r="O345" s="31">
        <f>1906</f>
        <v>1906</v>
      </c>
      <c r="P345" s="32" t="s">
        <v>682</v>
      </c>
      <c r="Q345" s="31">
        <f>1935</f>
        <v>1935</v>
      </c>
      <c r="R345" s="32" t="s">
        <v>681</v>
      </c>
      <c r="S345" s="33">
        <f>1917.92</f>
        <v>1917.92</v>
      </c>
      <c r="T345" s="30">
        <f>390</f>
        <v>390</v>
      </c>
      <c r="U345" s="30" t="str">
        <f>"－"</f>
        <v>－</v>
      </c>
      <c r="V345" s="30">
        <f>747335</f>
        <v>747335</v>
      </c>
      <c r="W345" s="30" t="str">
        <f>"－"</f>
        <v>－</v>
      </c>
      <c r="X345" s="34">
        <f>12</f>
        <v>12</v>
      </c>
    </row>
    <row r="346" spans="1:24">
      <c r="A346" s="25" t="s">
        <v>1078</v>
      </c>
      <c r="B346" s="25" t="s">
        <v>845</v>
      </c>
      <c r="C346" s="25" t="s">
        <v>846</v>
      </c>
      <c r="D346" s="25" t="s">
        <v>847</v>
      </c>
      <c r="E346" s="26" t="s">
        <v>43</v>
      </c>
      <c r="F346" s="27" t="s">
        <v>43</v>
      </c>
      <c r="G346" s="28" t="s">
        <v>43</v>
      </c>
      <c r="H346" s="29"/>
      <c r="I346" s="29" t="s">
        <v>44</v>
      </c>
      <c r="J346" s="30">
        <v>1</v>
      </c>
      <c r="K346" s="31">
        <f>1291</f>
        <v>1291</v>
      </c>
      <c r="L346" s="32" t="s">
        <v>675</v>
      </c>
      <c r="M346" s="31">
        <f>1305</f>
        <v>1305</v>
      </c>
      <c r="N346" s="32" t="s">
        <v>778</v>
      </c>
      <c r="O346" s="31">
        <f>1250</f>
        <v>1250</v>
      </c>
      <c r="P346" s="32" t="s">
        <v>680</v>
      </c>
      <c r="Q346" s="31">
        <f>1263</f>
        <v>1263</v>
      </c>
      <c r="R346" s="32" t="s">
        <v>681</v>
      </c>
      <c r="S346" s="33">
        <f>1270</f>
        <v>1270</v>
      </c>
      <c r="T346" s="30">
        <f>12521</f>
        <v>12521</v>
      </c>
      <c r="U346" s="30" t="str">
        <f>"－"</f>
        <v>－</v>
      </c>
      <c r="V346" s="30">
        <f>15867515</f>
        <v>15867515</v>
      </c>
      <c r="W346" s="30" t="str">
        <f>"－"</f>
        <v>－</v>
      </c>
      <c r="X346" s="34">
        <f>19</f>
        <v>19</v>
      </c>
    </row>
    <row r="347" spans="1:24">
      <c r="A347" s="25" t="s">
        <v>1078</v>
      </c>
      <c r="B347" s="25" t="s">
        <v>848</v>
      </c>
      <c r="C347" s="25" t="s">
        <v>849</v>
      </c>
      <c r="D347" s="25" t="s">
        <v>850</v>
      </c>
      <c r="E347" s="26" t="s">
        <v>43</v>
      </c>
      <c r="F347" s="27" t="s">
        <v>43</v>
      </c>
      <c r="G347" s="28" t="s">
        <v>43</v>
      </c>
      <c r="H347" s="29"/>
      <c r="I347" s="29" t="s">
        <v>44</v>
      </c>
      <c r="J347" s="30">
        <v>1</v>
      </c>
      <c r="K347" s="31">
        <f>1078</f>
        <v>1078</v>
      </c>
      <c r="L347" s="32" t="s">
        <v>675</v>
      </c>
      <c r="M347" s="31">
        <f>1154</f>
        <v>1154</v>
      </c>
      <c r="N347" s="32" t="s">
        <v>681</v>
      </c>
      <c r="O347" s="31">
        <f>1075</f>
        <v>1075</v>
      </c>
      <c r="P347" s="32" t="s">
        <v>675</v>
      </c>
      <c r="Q347" s="31">
        <f>1144</f>
        <v>1144</v>
      </c>
      <c r="R347" s="32" t="s">
        <v>681</v>
      </c>
      <c r="S347" s="33">
        <f>1118.89</f>
        <v>1118.8900000000001</v>
      </c>
      <c r="T347" s="30">
        <f>1253644</f>
        <v>1253644</v>
      </c>
      <c r="U347" s="30">
        <f>3</f>
        <v>3</v>
      </c>
      <c r="V347" s="30">
        <f>1394319766</f>
        <v>1394319766</v>
      </c>
      <c r="W347" s="30">
        <f>3466</f>
        <v>3466</v>
      </c>
      <c r="X347" s="34">
        <f>19</f>
        <v>19</v>
      </c>
    </row>
    <row r="348" spans="1:24">
      <c r="A348" s="25" t="s">
        <v>1078</v>
      </c>
      <c r="B348" s="25" t="s">
        <v>851</v>
      </c>
      <c r="C348" s="25" t="s">
        <v>852</v>
      </c>
      <c r="D348" s="25" t="s">
        <v>853</v>
      </c>
      <c r="E348" s="26" t="s">
        <v>43</v>
      </c>
      <c r="F348" s="27" t="s">
        <v>43</v>
      </c>
      <c r="G348" s="28" t="s">
        <v>43</v>
      </c>
      <c r="H348" s="29"/>
      <c r="I348" s="29" t="s">
        <v>44</v>
      </c>
      <c r="J348" s="30">
        <v>1</v>
      </c>
      <c r="K348" s="31">
        <f>936</f>
        <v>936</v>
      </c>
      <c r="L348" s="32" t="s">
        <v>675</v>
      </c>
      <c r="M348" s="31">
        <f>1000</f>
        <v>1000</v>
      </c>
      <c r="N348" s="32" t="s">
        <v>681</v>
      </c>
      <c r="O348" s="31">
        <f>936</f>
        <v>936</v>
      </c>
      <c r="P348" s="32" t="s">
        <v>675</v>
      </c>
      <c r="Q348" s="31">
        <f>998</f>
        <v>998</v>
      </c>
      <c r="R348" s="32" t="s">
        <v>681</v>
      </c>
      <c r="S348" s="33">
        <f>969.32</f>
        <v>969.32</v>
      </c>
      <c r="T348" s="30">
        <f>959737</f>
        <v>959737</v>
      </c>
      <c r="U348" s="30">
        <f>414</f>
        <v>414</v>
      </c>
      <c r="V348" s="30">
        <f>923345546</f>
        <v>923345546</v>
      </c>
      <c r="W348" s="30">
        <f>389582</f>
        <v>389582</v>
      </c>
      <c r="X348" s="34">
        <f>19</f>
        <v>19</v>
      </c>
    </row>
    <row r="349" spans="1:24">
      <c r="A349" s="25" t="s">
        <v>1078</v>
      </c>
      <c r="B349" s="25" t="s">
        <v>858</v>
      </c>
      <c r="C349" s="25" t="s">
        <v>859</v>
      </c>
      <c r="D349" s="25" t="s">
        <v>860</v>
      </c>
      <c r="E349" s="26" t="s">
        <v>43</v>
      </c>
      <c r="F349" s="27" t="s">
        <v>43</v>
      </c>
      <c r="G349" s="28" t="s">
        <v>43</v>
      </c>
      <c r="H349" s="29"/>
      <c r="I349" s="29" t="s">
        <v>44</v>
      </c>
      <c r="J349" s="30">
        <v>1</v>
      </c>
      <c r="K349" s="31">
        <f>1107</f>
        <v>1107</v>
      </c>
      <c r="L349" s="32" t="s">
        <v>675</v>
      </c>
      <c r="M349" s="31">
        <f>1116</f>
        <v>1116</v>
      </c>
      <c r="N349" s="32" t="s">
        <v>677</v>
      </c>
      <c r="O349" s="31">
        <f>1060</f>
        <v>1060</v>
      </c>
      <c r="P349" s="32" t="s">
        <v>678</v>
      </c>
      <c r="Q349" s="31">
        <f>1085</f>
        <v>1085</v>
      </c>
      <c r="R349" s="32" t="s">
        <v>681</v>
      </c>
      <c r="S349" s="33">
        <f>1083.95</f>
        <v>1083.95</v>
      </c>
      <c r="T349" s="30">
        <f>19267</f>
        <v>19267</v>
      </c>
      <c r="U349" s="30" t="str">
        <f>"－"</f>
        <v>－</v>
      </c>
      <c r="V349" s="30">
        <f>20840433</f>
        <v>20840433</v>
      </c>
      <c r="W349" s="30" t="str">
        <f>"－"</f>
        <v>－</v>
      </c>
      <c r="X349" s="34">
        <f>19</f>
        <v>19</v>
      </c>
    </row>
    <row r="350" spans="1:24">
      <c r="A350" s="25" t="s">
        <v>1078</v>
      </c>
      <c r="B350" s="25" t="s">
        <v>861</v>
      </c>
      <c r="C350" s="25" t="s">
        <v>862</v>
      </c>
      <c r="D350" s="25" t="s">
        <v>863</v>
      </c>
      <c r="E350" s="26" t="s">
        <v>43</v>
      </c>
      <c r="F350" s="27" t="s">
        <v>43</v>
      </c>
      <c r="G350" s="28" t="s">
        <v>43</v>
      </c>
      <c r="H350" s="29"/>
      <c r="I350" s="29" t="s">
        <v>44</v>
      </c>
      <c r="J350" s="30">
        <v>1</v>
      </c>
      <c r="K350" s="31">
        <f>976</f>
        <v>976</v>
      </c>
      <c r="L350" s="32" t="s">
        <v>675</v>
      </c>
      <c r="M350" s="31">
        <f>1020</f>
        <v>1020</v>
      </c>
      <c r="N350" s="32" t="s">
        <v>883</v>
      </c>
      <c r="O350" s="31">
        <f>970</f>
        <v>970</v>
      </c>
      <c r="P350" s="32" t="s">
        <v>675</v>
      </c>
      <c r="Q350" s="31">
        <f>1018</f>
        <v>1018</v>
      </c>
      <c r="R350" s="32" t="s">
        <v>681</v>
      </c>
      <c r="S350" s="33">
        <f>1001.74</f>
        <v>1001.74</v>
      </c>
      <c r="T350" s="30">
        <f>610026</f>
        <v>610026</v>
      </c>
      <c r="U350" s="30">
        <f>4</f>
        <v>4</v>
      </c>
      <c r="V350" s="30">
        <f>609284712</f>
        <v>609284712</v>
      </c>
      <c r="W350" s="30">
        <f>3977</f>
        <v>3977</v>
      </c>
      <c r="X350" s="34">
        <f>19</f>
        <v>19</v>
      </c>
    </row>
    <row r="351" spans="1:24">
      <c r="A351" s="25" t="s">
        <v>1078</v>
      </c>
      <c r="B351" s="25" t="s">
        <v>864</v>
      </c>
      <c r="C351" s="25" t="s">
        <v>865</v>
      </c>
      <c r="D351" s="25" t="s">
        <v>950</v>
      </c>
      <c r="E351" s="26" t="s">
        <v>43</v>
      </c>
      <c r="F351" s="27" t="s">
        <v>43</v>
      </c>
      <c r="G351" s="28" t="s">
        <v>43</v>
      </c>
      <c r="H351" s="29"/>
      <c r="I351" s="29" t="s">
        <v>44</v>
      </c>
      <c r="J351" s="30">
        <v>1</v>
      </c>
      <c r="K351" s="31">
        <f>32780</f>
        <v>32780</v>
      </c>
      <c r="L351" s="32" t="s">
        <v>675</v>
      </c>
      <c r="M351" s="31">
        <f>37560</f>
        <v>37560</v>
      </c>
      <c r="N351" s="32" t="s">
        <v>777</v>
      </c>
      <c r="O351" s="31">
        <f>32290</f>
        <v>32290</v>
      </c>
      <c r="P351" s="32" t="s">
        <v>674</v>
      </c>
      <c r="Q351" s="31">
        <f>36330</f>
        <v>36330</v>
      </c>
      <c r="R351" s="32" t="s">
        <v>681</v>
      </c>
      <c r="S351" s="33">
        <f>35168.95</f>
        <v>35168.949999999997</v>
      </c>
      <c r="T351" s="30">
        <f>315943</f>
        <v>315943</v>
      </c>
      <c r="U351" s="30">
        <f>221</f>
        <v>221</v>
      </c>
      <c r="V351" s="30">
        <f>11089482390</f>
        <v>11089482390</v>
      </c>
      <c r="W351" s="30">
        <f>7570610</f>
        <v>7570610</v>
      </c>
      <c r="X351" s="34">
        <f>19</f>
        <v>19</v>
      </c>
    </row>
    <row r="352" spans="1:24">
      <c r="A352" s="25" t="s">
        <v>1078</v>
      </c>
      <c r="B352" s="25" t="s">
        <v>866</v>
      </c>
      <c r="C352" s="25" t="s">
        <v>867</v>
      </c>
      <c r="D352" s="25" t="s">
        <v>951</v>
      </c>
      <c r="E352" s="26" t="s">
        <v>43</v>
      </c>
      <c r="F352" s="27" t="s">
        <v>43</v>
      </c>
      <c r="G352" s="28" t="s">
        <v>43</v>
      </c>
      <c r="H352" s="29"/>
      <c r="I352" s="29" t="s">
        <v>44</v>
      </c>
      <c r="J352" s="30">
        <v>1</v>
      </c>
      <c r="K352" s="31">
        <f>29405</f>
        <v>29405</v>
      </c>
      <c r="L352" s="32" t="s">
        <v>675</v>
      </c>
      <c r="M352" s="31">
        <f>29860</f>
        <v>29860</v>
      </c>
      <c r="N352" s="32" t="s">
        <v>674</v>
      </c>
      <c r="O352" s="31">
        <f>25495</f>
        <v>25495</v>
      </c>
      <c r="P352" s="32" t="s">
        <v>777</v>
      </c>
      <c r="Q352" s="31">
        <f>26335</f>
        <v>26335</v>
      </c>
      <c r="R352" s="32" t="s">
        <v>681</v>
      </c>
      <c r="S352" s="33">
        <f>27382.37</f>
        <v>27382.37</v>
      </c>
      <c r="T352" s="30">
        <f>161441</f>
        <v>161441</v>
      </c>
      <c r="U352" s="30">
        <f>16</f>
        <v>16</v>
      </c>
      <c r="V352" s="30">
        <f>4438899035</f>
        <v>4438899035</v>
      </c>
      <c r="W352" s="30">
        <f>415810</f>
        <v>415810</v>
      </c>
      <c r="X352" s="34">
        <f>19</f>
        <v>19</v>
      </c>
    </row>
  </sheetData>
  <mergeCells count="3">
    <mergeCell ref="N1:X3"/>
    <mergeCell ref="A2:M2"/>
    <mergeCell ref="A3:M3"/>
  </mergeCells>
  <phoneticPr fontId="3"/>
  <printOptions horizontalCentered="1"/>
  <pageMargins left="0.39370078740157483" right="0.39370078740157483" top="0.39370078740157483" bottom="0.59055118110236227" header="0.27559055118110237" footer="0.27559055118110237"/>
  <pageSetup paperSize="9" scale="34" fitToHeight="0" orientation="landscape" r:id="rId1"/>
  <headerFooter>
    <oddFooter>&amp;C&amp;P/&amp;N&amp;RCopyright (c) Tokyo Stock Exchange, Inc. All Rights Reserved.</oddFooter>
  </headerFooter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2024.12</vt:lpstr>
      <vt:lpstr>2024.11</vt:lpstr>
      <vt:lpstr>2024.10</vt:lpstr>
      <vt:lpstr>2024.09</vt:lpstr>
      <vt:lpstr>2024.08</vt:lpstr>
      <vt:lpstr>2024.07</vt:lpstr>
      <vt:lpstr>2024.06</vt:lpstr>
      <vt:lpstr>2024.05</vt:lpstr>
      <vt:lpstr>2024.04</vt:lpstr>
      <vt:lpstr>2024.03</vt:lpstr>
      <vt:lpstr>2024.02</vt:lpstr>
      <vt:lpstr>2024.01</vt:lpstr>
      <vt:lpstr>'2024.01'!Print_Titles</vt:lpstr>
      <vt:lpstr>'2024.02'!Print_Titles</vt:lpstr>
      <vt:lpstr>'2024.03'!Print_Titles</vt:lpstr>
      <vt:lpstr>'2024.04'!Print_Titles</vt:lpstr>
      <vt:lpstr>'2024.05'!Print_Titles</vt:lpstr>
      <vt:lpstr>'2024.06'!Print_Titles</vt:lpstr>
      <vt:lpstr>'2024.07'!Print_Titles</vt:lpstr>
      <vt:lpstr>'2024.08'!Print_Titles</vt:lpstr>
      <vt:lpstr>'2024.09'!Print_Titles</vt:lpstr>
      <vt:lpstr>'2024.10'!Print_Titles</vt:lpstr>
      <vt:lpstr>'2024.11'!Print_Titles</vt:lpstr>
      <vt:lpstr>'2024.12'!Print_Titles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麻子</dc:creator>
  <cp:lastModifiedBy>Kobayashi, Miyuki (小林 深雪)</cp:lastModifiedBy>
  <cp:lastPrinted>2023-11-09T04:17:30Z</cp:lastPrinted>
  <dcterms:created xsi:type="dcterms:W3CDTF">2022-02-07T04:54:12Z</dcterms:created>
  <dcterms:modified xsi:type="dcterms:W3CDTF">2025-02-10T05:42:30Z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2023-04-05T05:55:28Z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2025-01-10T15:10:54Z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